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7770" yWindow="1815" windowWidth="15390" windowHeight="11760" tabRatio="943" activeTab="4"/>
  </bookViews>
  <sheets>
    <sheet name="BDI Desonerado (2)" sheetId="22" r:id="rId1"/>
    <sheet name="Memoria Quantitativo" sheetId="27" r:id="rId2"/>
    <sheet name="Memoria Preço" sheetId="30" r:id="rId3"/>
    <sheet name="Orçamento" sheetId="31" r:id="rId4"/>
    <sheet name="Cronograma" sheetId="32" r:id="rId5"/>
  </sheets>
  <externalReferences>
    <externalReference r:id="rId6"/>
  </externalReferences>
  <definedNames>
    <definedName name="_xlnm.Print_Area" localSheetId="0">'BDI Desonerado (2)'!$B$2:$I$40</definedName>
    <definedName name="_xlnm.Print_Area" localSheetId="4">Cronograma!$A$1:$G$24</definedName>
    <definedName name="_xlnm.Print_Area" localSheetId="2">'Memoria Preço'!$A$1:$G$447</definedName>
    <definedName name="_xlnm.Print_Area" localSheetId="1">'Memoria Quantitativo'!$A$9:$D$386</definedName>
    <definedName name="_xlnm.Print_Area" localSheetId="3">Orçamento!$A$1:$G$93</definedName>
    <definedName name="BDI">#REF!</definedName>
    <definedName name="MEM_A">#REF!</definedName>
    <definedName name="MEN_B">#REF!</definedName>
    <definedName name="ORÇ_A" localSheetId="4">[1]Orçam_completo!#REF!</definedName>
    <definedName name="ORÇ_A">#REF!</definedName>
    <definedName name="ORÇ_B" localSheetId="4">[1]Orçam_completo!#REF!</definedName>
    <definedName name="ORÇ_B">#REF!</definedName>
    <definedName name="ORÇ_D" localSheetId="4">[1]Orçam_completo!#REF!</definedName>
    <definedName name="ORÇ_D">#REF!</definedName>
    <definedName name="_xlnm.Print_Titles" localSheetId="2">'Memoria Preço'!$1:$9</definedName>
    <definedName name="_xlnm.Print_Titles" localSheetId="1">'Memoria Quantitativo'!$1:$8</definedName>
    <definedName name="_xlnm.Print_Titles" localSheetId="3">Orçamento!$1:$9</definedName>
  </definedNames>
  <calcPr calcId="152511"/>
</workbook>
</file>

<file path=xl/calcChain.xml><?xml version="1.0" encoding="utf-8"?>
<calcChain xmlns="http://schemas.openxmlformats.org/spreadsheetml/2006/main">
  <c r="F29" i="31" l="1"/>
  <c r="F125" i="30"/>
  <c r="G125" i="30" s="1"/>
  <c r="F124" i="30"/>
  <c r="G124" i="30" s="1"/>
  <c r="G123" i="30"/>
  <c r="F123" i="30"/>
  <c r="G122" i="30"/>
  <c r="F122" i="30"/>
  <c r="F121" i="30"/>
  <c r="G121" i="30" s="1"/>
  <c r="F120" i="30"/>
  <c r="G120" i="30" s="1"/>
  <c r="F119" i="30"/>
  <c r="G119" i="30" s="1"/>
  <c r="F118" i="30"/>
  <c r="G118" i="30" s="1"/>
  <c r="G126" i="30" l="1"/>
  <c r="E442" i="30" l="1"/>
  <c r="F442" i="30"/>
  <c r="E441" i="30"/>
  <c r="F441" i="30"/>
  <c r="E440" i="30"/>
  <c r="F440" i="30"/>
  <c r="E439" i="30"/>
  <c r="E438" i="30"/>
  <c r="F438" i="30"/>
  <c r="E437" i="30"/>
  <c r="F424" i="30"/>
  <c r="F423" i="30"/>
  <c r="F422" i="30"/>
  <c r="F420" i="30"/>
  <c r="E430" i="30" l="1"/>
  <c r="F430" i="30"/>
  <c r="E429" i="30"/>
  <c r="F429" i="30"/>
  <c r="E428" i="30"/>
  <c r="F428" i="30"/>
  <c r="E427" i="30"/>
  <c r="F427" i="30"/>
  <c r="E425" i="30"/>
  <c r="F425" i="30"/>
  <c r="E419" i="30"/>
  <c r="E418" i="30"/>
  <c r="E417" i="30"/>
  <c r="E416" i="30"/>
  <c r="E415" i="30"/>
  <c r="E414" i="30"/>
  <c r="E413" i="30"/>
  <c r="F413" i="30"/>
  <c r="G409" i="30"/>
  <c r="G408" i="30"/>
  <c r="F387" i="30"/>
  <c r="G387" i="30" s="1"/>
  <c r="F386" i="30"/>
  <c r="G386" i="30" s="1"/>
  <c r="F385" i="30"/>
  <c r="G385" i="30" s="1"/>
  <c r="F383" i="30"/>
  <c r="G383" i="30" s="1"/>
  <c r="F382" i="30"/>
  <c r="G382" i="30" s="1"/>
  <c r="F381" i="30"/>
  <c r="G381" i="30" s="1"/>
  <c r="F380" i="30"/>
  <c r="G380" i="30" s="1"/>
  <c r="F379" i="30"/>
  <c r="G379" i="30" s="1"/>
  <c r="F377" i="30"/>
  <c r="G377" i="30" s="1"/>
  <c r="F376" i="30"/>
  <c r="G376" i="30" s="1"/>
  <c r="F375" i="30"/>
  <c r="G375" i="30" s="1"/>
  <c r="F373" i="30"/>
  <c r="G373" i="30" s="1"/>
  <c r="F372" i="30"/>
  <c r="G372" i="30" s="1"/>
  <c r="F371" i="30"/>
  <c r="G371" i="30" s="1"/>
  <c r="F369" i="30"/>
  <c r="G369" i="30" s="1"/>
  <c r="F368" i="30"/>
  <c r="G368" i="30" s="1"/>
  <c r="F367" i="30"/>
  <c r="G367" i="30" s="1"/>
  <c r="F366" i="30"/>
  <c r="G366" i="30" s="1"/>
  <c r="F365" i="30"/>
  <c r="G365" i="30" s="1"/>
  <c r="F364" i="30"/>
  <c r="G364" i="30" s="1"/>
  <c r="F362" i="30"/>
  <c r="G362" i="30" s="1"/>
  <c r="F361" i="30"/>
  <c r="G361" i="30" s="1"/>
  <c r="F360" i="30"/>
  <c r="G360" i="30" s="1"/>
  <c r="F358" i="30"/>
  <c r="G358" i="30" s="1"/>
  <c r="F357" i="30"/>
  <c r="G357" i="30" s="1"/>
  <c r="F356" i="30"/>
  <c r="G356" i="30" s="1"/>
  <c r="F355" i="30"/>
  <c r="G355" i="30" s="1"/>
  <c r="F353" i="30"/>
  <c r="G353" i="30" s="1"/>
  <c r="F352" i="30"/>
  <c r="G352" i="30" s="1"/>
  <c r="F351" i="30"/>
  <c r="G351" i="30" s="1"/>
  <c r="F350" i="30"/>
  <c r="G350" i="30" s="1"/>
  <c r="F348" i="30"/>
  <c r="G348" i="30" s="1"/>
  <c r="G349" i="30" s="1"/>
  <c r="F70" i="31" s="1"/>
  <c r="F347" i="30"/>
  <c r="G347" i="30" s="1"/>
  <c r="F345" i="30"/>
  <c r="G345" i="30" s="1"/>
  <c r="G346" i="30" s="1"/>
  <c r="F69" i="31" s="1"/>
  <c r="F344" i="30"/>
  <c r="G344" i="30" s="1"/>
  <c r="F342" i="30"/>
  <c r="G342" i="30" s="1"/>
  <c r="G343" i="30" s="1"/>
  <c r="F68" i="31" s="1"/>
  <c r="F341" i="30"/>
  <c r="G341" i="30" s="1"/>
  <c r="F339" i="30"/>
  <c r="G339" i="30" s="1"/>
  <c r="G340" i="30" s="1"/>
  <c r="F67" i="31" s="1"/>
  <c r="F338" i="30"/>
  <c r="G338" i="30" s="1"/>
  <c r="A385" i="30"/>
  <c r="A360" i="30"/>
  <c r="A364" i="30"/>
  <c r="A371" i="30"/>
  <c r="A375" i="30"/>
  <c r="A379" i="30"/>
  <c r="A338" i="30"/>
  <c r="A341" i="30"/>
  <c r="A344" i="30"/>
  <c r="A347" i="30"/>
  <c r="A350" i="30"/>
  <c r="A355" i="30"/>
  <c r="F332" i="30"/>
  <c r="G332" i="30" s="1"/>
  <c r="F325" i="30"/>
  <c r="G325" i="30" s="1"/>
  <c r="F318" i="30"/>
  <c r="G318" i="30" s="1"/>
  <c r="F311" i="30"/>
  <c r="G311" i="30" s="1"/>
  <c r="F310" i="30"/>
  <c r="F306" i="30"/>
  <c r="G306" i="30" s="1"/>
  <c r="F305" i="30"/>
  <c r="G305" i="30" s="1"/>
  <c r="F304" i="30"/>
  <c r="G304" i="30" s="1"/>
  <c r="A304" i="30"/>
  <c r="F279" i="30"/>
  <c r="G279" i="30" s="1"/>
  <c r="F278" i="30"/>
  <c r="G278" i="30" s="1"/>
  <c r="F277" i="30"/>
  <c r="G277" i="30" s="1"/>
  <c r="F276" i="30"/>
  <c r="G276" i="30" s="1"/>
  <c r="F275" i="30"/>
  <c r="G275" i="30" s="1"/>
  <c r="F274" i="30"/>
  <c r="G274" i="30" s="1"/>
  <c r="F51" i="31" s="1"/>
  <c r="F301" i="30"/>
  <c r="G301" i="30" s="1"/>
  <c r="F299" i="30"/>
  <c r="G299" i="30" s="1"/>
  <c r="A297" i="30"/>
  <c r="G300" i="30"/>
  <c r="F295" i="30"/>
  <c r="G295" i="30" s="1"/>
  <c r="F294" i="30"/>
  <c r="G294" i="30" s="1"/>
  <c r="F293" i="30"/>
  <c r="G293" i="30" s="1"/>
  <c r="F292" i="30"/>
  <c r="G292" i="30" s="1"/>
  <c r="F290" i="30"/>
  <c r="G290" i="30" s="1"/>
  <c r="F289" i="30"/>
  <c r="G289" i="30" s="1"/>
  <c r="F288" i="30"/>
  <c r="G288" i="30" s="1"/>
  <c r="F287" i="30"/>
  <c r="G287" i="30" s="1"/>
  <c r="F285" i="30"/>
  <c r="G285" i="30" s="1"/>
  <c r="F284" i="30"/>
  <c r="G284" i="30" s="1"/>
  <c r="F283" i="30"/>
  <c r="G283" i="30" s="1"/>
  <c r="F282" i="30"/>
  <c r="G282" i="30" s="1"/>
  <c r="F281" i="30"/>
  <c r="G281" i="30" s="1"/>
  <c r="A274" i="30"/>
  <c r="A281" i="30"/>
  <c r="A287" i="30"/>
  <c r="A292" i="30"/>
  <c r="C273" i="30"/>
  <c r="A273" i="30"/>
  <c r="F271" i="30"/>
  <c r="F270" i="30"/>
  <c r="F269" i="30"/>
  <c r="F268" i="30"/>
  <c r="F247" i="30"/>
  <c r="G247" i="30" s="1"/>
  <c r="F258" i="30"/>
  <c r="G258" i="30" s="1"/>
  <c r="F241" i="30"/>
  <c r="G241" i="30" s="1"/>
  <c r="F240" i="30"/>
  <c r="G240" i="30" s="1"/>
  <c r="F239" i="30"/>
  <c r="G239" i="30" s="1"/>
  <c r="F238" i="30"/>
  <c r="G238" i="30" s="1"/>
  <c r="F237" i="30"/>
  <c r="G237" i="30" s="1"/>
  <c r="F236" i="30"/>
  <c r="G236" i="30" s="1"/>
  <c r="F235" i="30"/>
  <c r="G235" i="30" s="1"/>
  <c r="C243" i="30"/>
  <c r="A243" i="30"/>
  <c r="A235" i="30"/>
  <c r="F211" i="30"/>
  <c r="G211" i="30" s="1"/>
  <c r="F210" i="30"/>
  <c r="G210" i="30" s="1"/>
  <c r="F209" i="30"/>
  <c r="G209" i="30" s="1"/>
  <c r="F208" i="30"/>
  <c r="G208" i="30" s="1"/>
  <c r="F207" i="30"/>
  <c r="G207" i="30" s="1"/>
  <c r="F205" i="30"/>
  <c r="G205" i="30" s="1"/>
  <c r="F204" i="30"/>
  <c r="G204" i="30" s="1"/>
  <c r="F203" i="30"/>
  <c r="G203" i="30" s="1"/>
  <c r="F202" i="30"/>
  <c r="G202" i="30" s="1"/>
  <c r="F201" i="30"/>
  <c r="G201" i="30" s="1"/>
  <c r="A207" i="30"/>
  <c r="A201" i="30"/>
  <c r="F178" i="30"/>
  <c r="G178" i="30" s="1"/>
  <c r="F177" i="30"/>
  <c r="G177" i="30" s="1"/>
  <c r="F176" i="30"/>
  <c r="G176" i="30" s="1"/>
  <c r="F175" i="30"/>
  <c r="G175" i="30" s="1"/>
  <c r="F174" i="30"/>
  <c r="G174" i="30" s="1"/>
  <c r="F172" i="30"/>
  <c r="G172" i="30" s="1"/>
  <c r="F171" i="30"/>
  <c r="G171" i="30" s="1"/>
  <c r="F170" i="30"/>
  <c r="G170" i="30" s="1"/>
  <c r="F169" i="30"/>
  <c r="G169" i="30" s="1"/>
  <c r="F168" i="30"/>
  <c r="G168" i="30" s="1"/>
  <c r="F166" i="30"/>
  <c r="G166" i="30" s="1"/>
  <c r="F165" i="30"/>
  <c r="G165" i="30" s="1"/>
  <c r="F164" i="30"/>
  <c r="G164" i="30" s="1"/>
  <c r="F163" i="30"/>
  <c r="G163" i="30" s="1"/>
  <c r="F162" i="30"/>
  <c r="G162" i="30" s="1"/>
  <c r="F160" i="30"/>
  <c r="G160" i="30" s="1"/>
  <c r="F159" i="30"/>
  <c r="G159" i="30" s="1"/>
  <c r="F158" i="30"/>
  <c r="G158" i="30" s="1"/>
  <c r="F157" i="30"/>
  <c r="G157" i="30" s="1"/>
  <c r="F156" i="30"/>
  <c r="G156" i="30" s="1"/>
  <c r="F155" i="30"/>
  <c r="G155" i="30" s="1"/>
  <c r="F154" i="30"/>
  <c r="G154" i="30" s="1"/>
  <c r="F153" i="30"/>
  <c r="G153" i="30" s="1"/>
  <c r="F152" i="30"/>
  <c r="G152" i="30" s="1"/>
  <c r="F151" i="30"/>
  <c r="G151" i="30" s="1"/>
  <c r="F150" i="30"/>
  <c r="G150" i="30" s="1"/>
  <c r="F149" i="30"/>
  <c r="G149" i="30" s="1"/>
  <c r="F148" i="30"/>
  <c r="G148" i="30" s="1"/>
  <c r="F147" i="30"/>
  <c r="G147" i="30" s="1"/>
  <c r="F146" i="30"/>
  <c r="G146" i="30" s="1"/>
  <c r="F145" i="30"/>
  <c r="G145" i="30" s="1"/>
  <c r="F143" i="30"/>
  <c r="G143" i="30" s="1"/>
  <c r="G144" i="30" s="1"/>
  <c r="F35" i="31" s="1"/>
  <c r="F142" i="30"/>
  <c r="G142" i="30" s="1"/>
  <c r="F140" i="30"/>
  <c r="G140" i="30" s="1"/>
  <c r="G141" i="30" s="1"/>
  <c r="F34" i="31" s="1"/>
  <c r="F139" i="30"/>
  <c r="G139" i="30" s="1"/>
  <c r="A174" i="30"/>
  <c r="A145" i="30"/>
  <c r="A162" i="30"/>
  <c r="A168" i="30"/>
  <c r="A142" i="30"/>
  <c r="A139" i="30"/>
  <c r="C138" i="30"/>
  <c r="A138" i="30"/>
  <c r="A118" i="30"/>
  <c r="F103" i="30"/>
  <c r="G103" i="30" s="1"/>
  <c r="F102" i="30"/>
  <c r="G102" i="30" s="1"/>
  <c r="F101" i="30"/>
  <c r="G101" i="30" s="1"/>
  <c r="F100" i="30"/>
  <c r="G100" i="30" s="1"/>
  <c r="F99" i="30"/>
  <c r="G99" i="30" s="1"/>
  <c r="F98" i="30"/>
  <c r="G98" i="30" s="1"/>
  <c r="F97" i="30"/>
  <c r="G97" i="30" s="1"/>
  <c r="F96" i="30"/>
  <c r="G96" i="30" s="1"/>
  <c r="F95" i="30"/>
  <c r="G95" i="30" s="1"/>
  <c r="F94" i="30"/>
  <c r="G94" i="30" s="1"/>
  <c r="F93" i="30"/>
  <c r="G93" i="30" s="1"/>
  <c r="F92" i="30"/>
  <c r="G92" i="30" s="1"/>
  <c r="F91" i="30"/>
  <c r="G91" i="30" s="1"/>
  <c r="F90" i="30"/>
  <c r="G90" i="30" s="1"/>
  <c r="F89" i="30"/>
  <c r="G89" i="30" s="1"/>
  <c r="F88" i="30"/>
  <c r="G88" i="30" s="1"/>
  <c r="A88" i="30"/>
  <c r="F84" i="30"/>
  <c r="G84" i="30" s="1"/>
  <c r="F83" i="30"/>
  <c r="G83" i="30" s="1"/>
  <c r="F82" i="30"/>
  <c r="G82" i="30" s="1"/>
  <c r="F81" i="30"/>
  <c r="G81" i="30" s="1"/>
  <c r="F80" i="30"/>
  <c r="G80" i="30" s="1"/>
  <c r="F79" i="30"/>
  <c r="G79" i="30" s="1"/>
  <c r="F78" i="30"/>
  <c r="G78" i="30" s="1"/>
  <c r="F77" i="30"/>
  <c r="G77" i="30" s="1"/>
  <c r="F76" i="30"/>
  <c r="G76" i="30" s="1"/>
  <c r="F75" i="30"/>
  <c r="G75" i="30" s="1"/>
  <c r="F73" i="30"/>
  <c r="G73" i="30" s="1"/>
  <c r="G74" i="30" s="1"/>
  <c r="F22" i="31" s="1"/>
  <c r="F72" i="30"/>
  <c r="G72" i="30" s="1"/>
  <c r="F70" i="30"/>
  <c r="G70" i="30" s="1"/>
  <c r="G71" i="30" s="1"/>
  <c r="F21" i="31" s="1"/>
  <c r="F69" i="30"/>
  <c r="G69" i="30" s="1"/>
  <c r="E20" i="31"/>
  <c r="E21" i="31"/>
  <c r="E22" i="31"/>
  <c r="E23" i="31"/>
  <c r="F67" i="30"/>
  <c r="G67" i="30" s="1"/>
  <c r="F66" i="30"/>
  <c r="G66" i="30" s="1"/>
  <c r="F65" i="30"/>
  <c r="G65" i="30" s="1"/>
  <c r="F64" i="30"/>
  <c r="G64" i="30" s="1"/>
  <c r="A75" i="30"/>
  <c r="A72" i="30"/>
  <c r="A69" i="30"/>
  <c r="A64" i="30"/>
  <c r="F54" i="30"/>
  <c r="G54" i="30" s="1"/>
  <c r="G55" i="30" s="1"/>
  <c r="F18" i="31" s="1"/>
  <c r="F53" i="30"/>
  <c r="G53" i="30" s="1"/>
  <c r="F51" i="30"/>
  <c r="G51" i="30" s="1"/>
  <c r="G52" i="30" s="1"/>
  <c r="F17" i="31" s="1"/>
  <c r="F50" i="30"/>
  <c r="G50" i="30" s="1"/>
  <c r="F48" i="30"/>
  <c r="G48" i="30" s="1"/>
  <c r="F47" i="30"/>
  <c r="G47" i="30" s="1"/>
  <c r="F46" i="30"/>
  <c r="G46" i="30" s="1"/>
  <c r="F45" i="30"/>
  <c r="G45" i="30" s="1"/>
  <c r="F44" i="30"/>
  <c r="G44" i="30" s="1"/>
  <c r="F42" i="30"/>
  <c r="G42" i="30" s="1"/>
  <c r="F41" i="30"/>
  <c r="G41" i="30" s="1"/>
  <c r="F40" i="30"/>
  <c r="G40" i="30" s="1"/>
  <c r="F39" i="30"/>
  <c r="G39" i="30" s="1"/>
  <c r="F38" i="30"/>
  <c r="G38" i="30" s="1"/>
  <c r="F37" i="30"/>
  <c r="G37" i="30" s="1"/>
  <c r="F36" i="30"/>
  <c r="G36" i="30" s="1"/>
  <c r="F35" i="30"/>
  <c r="G35" i="30" s="1"/>
  <c r="F33" i="30"/>
  <c r="G33" i="30" s="1"/>
  <c r="G34" i="30" s="1"/>
  <c r="F14" i="31" s="1"/>
  <c r="F32" i="30"/>
  <c r="G32" i="30" s="1"/>
  <c r="A53" i="30"/>
  <c r="A50" i="30"/>
  <c r="A44" i="30"/>
  <c r="A35" i="30"/>
  <c r="A32" i="30"/>
  <c r="G374" i="30" l="1"/>
  <c r="F75" i="31" s="1"/>
  <c r="G354" i="30"/>
  <c r="F71" i="31" s="1"/>
  <c r="G363" i="30"/>
  <c r="F73" i="31" s="1"/>
  <c r="G388" i="30"/>
  <c r="F78" i="31" s="1"/>
  <c r="G378" i="30"/>
  <c r="F76" i="31" s="1"/>
  <c r="G370" i="30"/>
  <c r="F74" i="31" s="1"/>
  <c r="G307" i="30"/>
  <c r="F58" i="31" s="1"/>
  <c r="G359" i="30"/>
  <c r="F72" i="31" s="1"/>
  <c r="G384" i="30"/>
  <c r="F77" i="31" s="1"/>
  <c r="G335" i="30"/>
  <c r="G333" i="30"/>
  <c r="G314" i="30"/>
  <c r="G312" i="30"/>
  <c r="G321" i="30"/>
  <c r="G319" i="30"/>
  <c r="G328" i="30"/>
  <c r="G326" i="30"/>
  <c r="G280" i="30"/>
  <c r="G296" i="30"/>
  <c r="F54" i="31" s="1"/>
  <c r="G291" i="30"/>
  <c r="F53" i="31" s="1"/>
  <c r="G286" i="30"/>
  <c r="F52" i="31" s="1"/>
  <c r="G302" i="30"/>
  <c r="F297" i="30" s="1"/>
  <c r="F55" i="31" s="1"/>
  <c r="G242" i="30"/>
  <c r="F45" i="31" s="1"/>
  <c r="G206" i="30"/>
  <c r="F42" i="31" s="1"/>
  <c r="G212" i="30"/>
  <c r="F43" i="31" s="1"/>
  <c r="G167" i="30"/>
  <c r="F37" i="31" s="1"/>
  <c r="G179" i="30"/>
  <c r="F39" i="31" s="1"/>
  <c r="G173" i="30"/>
  <c r="F38" i="31" s="1"/>
  <c r="G161" i="30"/>
  <c r="F36" i="31" s="1"/>
  <c r="G104" i="30"/>
  <c r="F27" i="31" s="1"/>
  <c r="G85" i="30"/>
  <c r="F23" i="31" s="1"/>
  <c r="G68" i="30"/>
  <c r="F20" i="31" s="1"/>
  <c r="G49" i="30"/>
  <c r="F16" i="31" s="1"/>
  <c r="G43" i="30"/>
  <c r="F15" i="31" s="1"/>
  <c r="F30" i="30" l="1"/>
  <c r="G30" i="30" s="1"/>
  <c r="G31" i="30" s="1"/>
  <c r="F13" i="31" s="1"/>
  <c r="F29" i="30"/>
  <c r="G29" i="30" s="1"/>
  <c r="A29" i="30"/>
  <c r="F16" i="30"/>
  <c r="G16" i="30" s="1"/>
  <c r="F15" i="30"/>
  <c r="G15" i="30" s="1"/>
  <c r="F14" i="30"/>
  <c r="G14" i="30" s="1"/>
  <c r="F13" i="30"/>
  <c r="G13" i="30" s="1"/>
  <c r="F12" i="30"/>
  <c r="G12" i="30" s="1"/>
  <c r="F11" i="30"/>
  <c r="G11" i="30" s="1"/>
  <c r="F11" i="31" s="1"/>
  <c r="A11" i="30"/>
  <c r="G17" i="30" l="1"/>
  <c r="E81" i="31"/>
  <c r="E80" i="31"/>
  <c r="E87" i="31"/>
  <c r="D81" i="31"/>
  <c r="C81" i="31"/>
  <c r="B81" i="31"/>
  <c r="G23" i="31" l="1"/>
  <c r="G22" i="31"/>
  <c r="A433" i="30"/>
  <c r="D80" i="31"/>
  <c r="C80" i="31"/>
  <c r="B80" i="31"/>
  <c r="A411" i="30"/>
  <c r="G419" i="30"/>
  <c r="E422" i="30"/>
  <c r="E424" i="30"/>
  <c r="E423" i="30"/>
  <c r="G440" i="30"/>
  <c r="G430" i="30" l="1"/>
  <c r="G429" i="30"/>
  <c r="G428" i="30"/>
  <c r="G423" i="30"/>
  <c r="G425" i="30"/>
  <c r="G442" i="30"/>
  <c r="G441" i="30"/>
  <c r="G424" i="30"/>
  <c r="G439" i="30"/>
  <c r="F437" i="30"/>
  <c r="G422" i="30"/>
  <c r="E420" i="30"/>
  <c r="F418" i="30"/>
  <c r="F416" i="30"/>
  <c r="F417" i="30"/>
  <c r="G415" i="30"/>
  <c r="G414" i="30"/>
  <c r="E271" i="30"/>
  <c r="E270" i="30"/>
  <c r="E269" i="30"/>
  <c r="E268" i="30"/>
  <c r="E77" i="31"/>
  <c r="E78" i="31" s="1"/>
  <c r="E74" i="31"/>
  <c r="E72" i="31"/>
  <c r="E71" i="31"/>
  <c r="E70" i="31"/>
  <c r="E69" i="31"/>
  <c r="E68" i="31"/>
  <c r="E67" i="31"/>
  <c r="E73" i="31" l="1"/>
  <c r="E79" i="31"/>
  <c r="G427" i="30"/>
  <c r="G437" i="30"/>
  <c r="G418" i="30"/>
  <c r="G420" i="30"/>
  <c r="G438" i="30"/>
  <c r="G417" i="30"/>
  <c r="G416" i="30"/>
  <c r="E75" i="31"/>
  <c r="E76" i="31" s="1"/>
  <c r="G393" i="30"/>
  <c r="G394" i="30"/>
  <c r="G413" i="30"/>
  <c r="C79" i="31"/>
  <c r="B79" i="31"/>
  <c r="G431" i="30" l="1"/>
  <c r="F411" i="30" s="1"/>
  <c r="G405" i="30"/>
  <c r="A389" i="30"/>
  <c r="A337" i="30"/>
  <c r="C337" i="30"/>
  <c r="C336" i="30"/>
  <c r="A336" i="30"/>
  <c r="G78" i="31"/>
  <c r="G76" i="31"/>
  <c r="G77" i="31"/>
  <c r="G75" i="31"/>
  <c r="G69" i="31"/>
  <c r="G70" i="31"/>
  <c r="G71" i="31"/>
  <c r="G74" i="31"/>
  <c r="G72" i="31"/>
  <c r="G73" i="31"/>
  <c r="G68" i="31"/>
  <c r="G67" i="31"/>
  <c r="G407" i="30" l="1"/>
  <c r="F80" i="31"/>
  <c r="G80" i="31" s="1"/>
  <c r="F435" i="30"/>
  <c r="G435" i="30" s="1"/>
  <c r="G443" i="30" s="1"/>
  <c r="F81" i="31" s="1"/>
  <c r="G81" i="31" s="1"/>
  <c r="E61" i="31"/>
  <c r="E62" i="31"/>
  <c r="E60" i="31"/>
  <c r="F329" i="30"/>
  <c r="F62" i="31" s="1"/>
  <c r="A329" i="30"/>
  <c r="F322" i="30"/>
  <c r="F61" i="31" s="1"/>
  <c r="A322" i="30"/>
  <c r="F315" i="30"/>
  <c r="F60" i="31" s="1"/>
  <c r="A315" i="30"/>
  <c r="F308" i="30"/>
  <c r="F59" i="31" s="1"/>
  <c r="A308" i="30"/>
  <c r="C303" i="30"/>
  <c r="A303" i="30"/>
  <c r="C137" i="30"/>
  <c r="A137" i="30"/>
  <c r="G410" i="30" l="1"/>
  <c r="F389" i="30" s="1"/>
  <c r="F79" i="31" s="1"/>
  <c r="G79" i="31" s="1"/>
  <c r="G82" i="31" s="1"/>
  <c r="G17" i="32" s="1"/>
  <c r="E59" i="31"/>
  <c r="G59" i="31" s="1"/>
  <c r="G61" i="31"/>
  <c r="G60" i="31"/>
  <c r="G62" i="31"/>
  <c r="E58" i="31"/>
  <c r="K58" i="31"/>
  <c r="E55" i="31"/>
  <c r="C17" i="32" l="1"/>
  <c r="E17" i="32"/>
  <c r="G58" i="31"/>
  <c r="G63" i="31" s="1"/>
  <c r="G16" i="32" s="1"/>
  <c r="E16" i="32" s="1"/>
  <c r="G55" i="31"/>
  <c r="E54" i="31"/>
  <c r="E53" i="31"/>
  <c r="G53" i="31" l="1"/>
  <c r="E51" i="31" l="1"/>
  <c r="G54" i="31"/>
  <c r="E48" i="31"/>
  <c r="E47" i="31"/>
  <c r="E267" i="30"/>
  <c r="G267" i="30" s="1"/>
  <c r="C48" i="31"/>
  <c r="B48" i="31"/>
  <c r="A264" i="30"/>
  <c r="C47" i="31"/>
  <c r="B47" i="31"/>
  <c r="G248" i="30"/>
  <c r="G263" i="30" s="1"/>
  <c r="F244" i="30" s="1"/>
  <c r="F47" i="31" s="1"/>
  <c r="A244" i="30"/>
  <c r="E45" i="31"/>
  <c r="E44" i="31"/>
  <c r="C44" i="31"/>
  <c r="A213" i="30"/>
  <c r="B44" i="31"/>
  <c r="E223" i="30"/>
  <c r="E225" i="30"/>
  <c r="E221" i="30"/>
  <c r="G217" i="30"/>
  <c r="G233" i="30"/>
  <c r="G232" i="30"/>
  <c r="G231" i="30"/>
  <c r="G230" i="30"/>
  <c r="G229" i="30"/>
  <c r="G228" i="30"/>
  <c r="G227" i="30"/>
  <c r="G226" i="30"/>
  <c r="G219" i="30"/>
  <c r="G218" i="30"/>
  <c r="F216" i="30"/>
  <c r="F215" i="30"/>
  <c r="E43" i="31"/>
  <c r="E42" i="31"/>
  <c r="E41" i="31"/>
  <c r="C41" i="31"/>
  <c r="B41" i="31"/>
  <c r="G193" i="30"/>
  <c r="G199" i="30"/>
  <c r="G198" i="30"/>
  <c r="G197" i="30"/>
  <c r="G196" i="30"/>
  <c r="G195" i="30"/>
  <c r="G194" i="30"/>
  <c r="F192" i="30"/>
  <c r="F191" i="30"/>
  <c r="A189" i="30"/>
  <c r="C40" i="31"/>
  <c r="B40" i="31"/>
  <c r="G186" i="30"/>
  <c r="G185" i="30"/>
  <c r="G184" i="30"/>
  <c r="G183" i="30"/>
  <c r="G182" i="30"/>
  <c r="A180" i="30"/>
  <c r="E40" i="31"/>
  <c r="E39" i="31"/>
  <c r="E38" i="31"/>
  <c r="G269" i="30" l="1"/>
  <c r="G51" i="31"/>
  <c r="E52" i="31"/>
  <c r="G52" i="31" s="1"/>
  <c r="G39" i="31"/>
  <c r="E36" i="31"/>
  <c r="G36" i="31" s="1"/>
  <c r="E37" i="31"/>
  <c r="G37" i="31" s="1"/>
  <c r="G268" i="30"/>
  <c r="G271" i="30"/>
  <c r="G270" i="30"/>
  <c r="G45" i="31"/>
  <c r="G225" i="30"/>
  <c r="G221" i="30"/>
  <c r="G42" i="31"/>
  <c r="G43" i="31"/>
  <c r="G223" i="30"/>
  <c r="G187" i="30"/>
  <c r="F180" i="30" s="1"/>
  <c r="F40" i="31" s="1"/>
  <c r="G40" i="31" s="1"/>
  <c r="G200" i="30"/>
  <c r="F189" i="30" s="1"/>
  <c r="F41" i="31" s="1"/>
  <c r="G41" i="31" s="1"/>
  <c r="G38" i="31"/>
  <c r="E34" i="31"/>
  <c r="G34" i="31" s="1"/>
  <c r="B30" i="31"/>
  <c r="C30" i="31"/>
  <c r="G135" i="30"/>
  <c r="F134" i="30"/>
  <c r="G132" i="30"/>
  <c r="G131" i="30"/>
  <c r="A127" i="30"/>
  <c r="E29" i="31"/>
  <c r="B28" i="31"/>
  <c r="C28" i="31"/>
  <c r="G112" i="30"/>
  <c r="G114" i="30"/>
  <c r="G113" i="30"/>
  <c r="G110" i="30"/>
  <c r="G109" i="30"/>
  <c r="G108" i="30"/>
  <c r="F107" i="30"/>
  <c r="G107" i="30" s="1"/>
  <c r="A105" i="30"/>
  <c r="G56" i="31" l="1"/>
  <c r="G15" i="32" s="1"/>
  <c r="E35" i="31"/>
  <c r="G35" i="31" s="1"/>
  <c r="G272" i="30"/>
  <c r="F264" i="30" s="1"/>
  <c r="F48" i="31" s="1"/>
  <c r="G48" i="31" s="1"/>
  <c r="G47" i="31"/>
  <c r="G234" i="30"/>
  <c r="F213" i="30" s="1"/>
  <c r="F44" i="31" s="1"/>
  <c r="G44" i="31" s="1"/>
  <c r="G136" i="30"/>
  <c r="F127" i="30" s="1"/>
  <c r="F30" i="31" s="1"/>
  <c r="E18" i="31"/>
  <c r="G18" i="31" s="1"/>
  <c r="E28" i="31"/>
  <c r="G29" i="31"/>
  <c r="E30" i="31"/>
  <c r="G115" i="30"/>
  <c r="G117" i="30" s="1"/>
  <c r="F105" i="30" s="1"/>
  <c r="F28" i="31" s="1"/>
  <c r="E27" i="31"/>
  <c r="G27" i="31" s="1"/>
  <c r="A56" i="30"/>
  <c r="D19" i="31"/>
  <c r="C19" i="31"/>
  <c r="B19" i="31"/>
  <c r="E19" i="31"/>
  <c r="G60" i="30"/>
  <c r="G59" i="30"/>
  <c r="G58" i="30"/>
  <c r="E15" i="31"/>
  <c r="E14" i="31"/>
  <c r="E17" i="31"/>
  <c r="E12" i="31"/>
  <c r="E25" i="30"/>
  <c r="B12" i="31"/>
  <c r="C12" i="31"/>
  <c r="E11" i="31"/>
  <c r="C15" i="32" l="1"/>
  <c r="E15" i="32"/>
  <c r="G49" i="31"/>
  <c r="G14" i="32" s="1"/>
  <c r="G30" i="31"/>
  <c r="G28" i="31"/>
  <c r="G61" i="30"/>
  <c r="G63" i="30" s="1"/>
  <c r="F56" i="30" s="1"/>
  <c r="F19" i="31" s="1"/>
  <c r="G19" i="31" s="1"/>
  <c r="E16" i="31"/>
  <c r="G16" i="31" s="1"/>
  <c r="E13" i="31"/>
  <c r="G15" i="31"/>
  <c r="G17" i="31"/>
  <c r="G14" i="31"/>
  <c r="G25" i="30"/>
  <c r="A18" i="30"/>
  <c r="E22" i="30"/>
  <c r="F21" i="30"/>
  <c r="F20" i="30"/>
  <c r="G27" i="30"/>
  <c r="G26" i="30"/>
  <c r="G23" i="30"/>
  <c r="G11" i="31"/>
  <c r="A7" i="31"/>
  <c r="A7" i="30"/>
  <c r="C6" i="27"/>
  <c r="E14" i="32" l="1"/>
  <c r="C14" i="32"/>
  <c r="G31" i="31"/>
  <c r="G13" i="32" s="1"/>
  <c r="G13" i="31"/>
  <c r="G22" i="30"/>
  <c r="G28" i="30" s="1"/>
  <c r="F18" i="30" s="1"/>
  <c r="F12" i="31" s="1"/>
  <c r="G12" i="31" s="1"/>
  <c r="E13" i="32" l="1"/>
  <c r="C13" i="32"/>
  <c r="G21" i="31"/>
  <c r="G20" i="31" l="1"/>
  <c r="G24" i="31" s="1"/>
  <c r="G12" i="32" s="1"/>
  <c r="L36" i="22"/>
  <c r="H32" i="22" s="1"/>
  <c r="E12" i="32" l="1"/>
  <c r="C12" i="32"/>
  <c r="G85" i="31"/>
  <c r="F87" i="31" s="1"/>
  <c r="G87" i="31" s="1"/>
  <c r="G89" i="31" l="1"/>
  <c r="G19" i="32"/>
  <c r="E19" i="32" l="1"/>
  <c r="E21" i="32" s="1"/>
  <c r="C19" i="32"/>
  <c r="C21" i="32" s="1"/>
  <c r="C23" i="32" l="1"/>
  <c r="E23" i="32" s="1"/>
  <c r="G21" i="32"/>
  <c r="C22" i="32" s="1"/>
  <c r="E22" i="32" l="1"/>
  <c r="E24" i="32"/>
  <c r="C24" i="32"/>
</calcChain>
</file>

<file path=xl/sharedStrings.xml><?xml version="1.0" encoding="utf-8"?>
<sst xmlns="http://schemas.openxmlformats.org/spreadsheetml/2006/main" count="1944" uniqueCount="781">
  <si>
    <t>ITEM</t>
  </si>
  <si>
    <t>EMOP-RJ</t>
  </si>
  <si>
    <t>DESCRIÇÃO</t>
  </si>
  <si>
    <t>UNID</t>
  </si>
  <si>
    <t>QUANT.</t>
  </si>
  <si>
    <t>P.UNITÁRIO</t>
  </si>
  <si>
    <t>P.TOTAL</t>
  </si>
  <si>
    <r>
      <t>ORÇAMENTO: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J.Nardelli</t>
    </r>
  </si>
  <si>
    <t>H</t>
  </si>
  <si>
    <t>PREFEITURA MUNICIPAL DE BARRA MANSA</t>
  </si>
  <si>
    <t>SECRETARIA MUNICIPAL DE ORDEM PÚBLICA</t>
  </si>
  <si>
    <t>COORDENADORIA DE TRÂNSITO E TRANSPORTE</t>
  </si>
  <si>
    <t>1.0</t>
  </si>
  <si>
    <t>1.1</t>
  </si>
  <si>
    <t>UN</t>
  </si>
  <si>
    <t>KG</t>
  </si>
  <si>
    <t>%</t>
  </si>
  <si>
    <t>BDI</t>
  </si>
  <si>
    <t>1.3</t>
  </si>
  <si>
    <t>2.0</t>
  </si>
  <si>
    <t>2.1</t>
  </si>
  <si>
    <t>2.2</t>
  </si>
  <si>
    <t>MEMÓRIA DE CÁLCULO - PLANILHA DE QUANTITATIVOS E PREÇOS</t>
  </si>
  <si>
    <t>TOTAL</t>
  </si>
  <si>
    <t>Estado do Rio de Janeiro</t>
  </si>
  <si>
    <t>Prefeitura Municipal de Barra Mansa</t>
  </si>
  <si>
    <t>Estes  itens aplicam-se diretamente aos Custos Diretos dos itens da obra :</t>
  </si>
  <si>
    <t>AC = Administração Central</t>
  </si>
  <si>
    <t>TCU 1º Quartil</t>
  </si>
  <si>
    <t>SG = Seguro e Garantia</t>
  </si>
  <si>
    <t>R = Risco</t>
  </si>
  <si>
    <t>DF = Despesas Financeiras</t>
  </si>
  <si>
    <t>Estes  Tributos aplicam-se diretamente ao Preço de Venda dos itens da obra :</t>
  </si>
  <si>
    <t>TM = Tributo Municipal</t>
  </si>
  <si>
    <t>ISS</t>
  </si>
  <si>
    <t>TF = Tributo Federal    (exceto IR e CSLL)</t>
  </si>
  <si>
    <t>PIS</t>
  </si>
  <si>
    <t>COFINS</t>
  </si>
  <si>
    <t>CPRB = Contribuição Previdenciária sobre a Receita Bruta</t>
  </si>
  <si>
    <t xml:space="preserve">            (Com Desoneração)</t>
  </si>
  <si>
    <t>Total Simples</t>
  </si>
  <si>
    <t>Esta é a Margem de Lucro esperada :</t>
  </si>
  <si>
    <t>L = Lucro / Remuneração</t>
  </si>
  <si>
    <t>.............................................................</t>
  </si>
  <si>
    <t xml:space="preserve">      BDI = </t>
  </si>
  <si>
    <t>((1+(AC/100)+(SG/100)+(R/100)) x (1+DF/100) x (1+L/100)</t>
  </si>
  <si>
    <t>-   1         x  100</t>
  </si>
  <si>
    <t xml:space="preserve">                1-(TM/100)-(TF/100)-(CPRB/100)</t>
  </si>
  <si>
    <t>BDI =</t>
  </si>
  <si>
    <r>
      <t xml:space="preserve">BDI = </t>
    </r>
    <r>
      <rPr>
        <u/>
        <sz val="12"/>
        <color indexed="63"/>
        <rFont val="Calibri"/>
        <family val="2"/>
      </rPr>
      <t>(1+AC+S+R+G) x (1+DF) x (1+L)</t>
    </r>
    <r>
      <rPr>
        <sz val="12"/>
        <color indexed="63"/>
        <rFont val="Calibri"/>
        <family val="2"/>
      </rPr>
      <t xml:space="preserve">  - 1</t>
    </r>
  </si>
  <si>
    <t>( 1 – I )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</si>
  <si>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</si>
  <si>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</si>
  <si>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</si>
  <si>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</si>
  <si>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</si>
  <si>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</si>
  <si>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</si>
  <si>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ISS).</t>
  </si>
  <si>
    <t xml:space="preserve">O BDI foi calculado utilizando-se a Tabela com os percentuais mínimos dos itens que compõem o BDI, relativos à Construção de Edifícios, do Acordão vigente do TCU. </t>
  </si>
  <si>
    <t>Secretaria Municipal de Ordem Pública</t>
  </si>
  <si>
    <t xml:space="preserve">   PREFEITURA MUNICIPAL DE BARRA MANSA</t>
  </si>
  <si>
    <t xml:space="preserve">    SECRETARIA MUNICIPAL DE ORDEM PÚBLICA</t>
  </si>
  <si>
    <t>MEMÓRIA DE LEVANTAMENTO DE QUANTITATIVOS</t>
  </si>
  <si>
    <t>OBRA/SERVIÇO:</t>
  </si>
  <si>
    <t>SERVIÇOS PRELIMINARES</t>
  </si>
  <si>
    <t>CALCULO</t>
  </si>
  <si>
    <t>1.2</t>
  </si>
  <si>
    <t>1.4</t>
  </si>
  <si>
    <t>1.5</t>
  </si>
  <si>
    <t>1.6</t>
  </si>
  <si>
    <t>1.7</t>
  </si>
  <si>
    <t>1.8</t>
  </si>
  <si>
    <t>1.9</t>
  </si>
  <si>
    <t>1.10</t>
  </si>
  <si>
    <t>2.3</t>
  </si>
  <si>
    <t>2.4</t>
  </si>
  <si>
    <t>DEMOLIÇÕES E ARRANCAMENTOS</t>
  </si>
  <si>
    <t>M2</t>
  </si>
  <si>
    <t>M</t>
  </si>
  <si>
    <t>05.001.0142-A</t>
  </si>
  <si>
    <t>ARRANCAMENTO DE MEIOS-FIOS,DE GRANITO OU CONCRETO,RETOS OU CURVOS,INCLUSIVE EMPILHAMENTO LATERAL DENTRO DO CANTEIRO DE S ERVICO (OBS.:3%-DESGASTE DE FERRAMENTAS E EPI).</t>
  </si>
  <si>
    <t>20132</t>
  </si>
  <si>
    <t>MAO-DE-OBRA DE SERVENTE DA CONSTRUCAO CIVIL, INCLUSIVE ENCARGOS SOCIAIS DESONERADOS</t>
  </si>
  <si>
    <t>21.004.0095-A</t>
  </si>
  <si>
    <t>M3</t>
  </si>
  <si>
    <t>20115</t>
  </si>
  <si>
    <t>MAO-DE-OBRA DE PEDREIRO, INCLUSIVE ENCARGOS SOCIAIS DESONERADOS</t>
  </si>
  <si>
    <t>03.001.0080-B</t>
  </si>
  <si>
    <t>T</t>
  </si>
  <si>
    <t>30425</t>
  </si>
  <si>
    <t>19.004.0012-E CAMINHAO BASCUL. NO TOCO, 5M3 (CI)</t>
  </si>
  <si>
    <t>30423</t>
  </si>
  <si>
    <t>19.004.0012-C CAMINHAO BASCUL. NO TOCO, 5M3 (CP)</t>
  </si>
  <si>
    <t>04.006.0009-A</t>
  </si>
  <si>
    <t>30416</t>
  </si>
  <si>
    <t>19.004.0004-E CAMINHAO CARROC. FIXA 7,5T (CI)</t>
  </si>
  <si>
    <t>30414</t>
  </si>
  <si>
    <t>19.004.0004-C CAMINHAO CARROC. FIXA, 7,5T (CP)</t>
  </si>
  <si>
    <t>T X KM</t>
  </si>
  <si>
    <t>RECOMPOSIÇÕES E CONSTRUÇÕES</t>
  </si>
  <si>
    <t>MEIO-FIO RETO DE CONCRETO SIMPLES FCK=15MPA,PRE-MOLDADO,TIPO DER-RJ,MEDINDO 0,15M NA BASE E COM ALTURA DE 0,30M,REJUNTAM ENTO COM ARGAMASSA DE CIMENTO E AREIA NO TRACO 1:3,5,COM FORNECIMENTO DE TODOS OS MATERIAIS,ESCAVACAO E REATERRO (OBS.:3%- DESGASTE DE FERRAMENTAS E EPI).</t>
  </si>
  <si>
    <t>20042</t>
  </si>
  <si>
    <t>MAO-DE-OBRA DE CALCETEIRO, INCLUSIVE ENCARGOS SOCIAS DESONERADOS</t>
  </si>
  <si>
    <t>30164</t>
  </si>
  <si>
    <t>07.002.0030-B ARGAMASSA CIM.,AREIA TRACO 1:4,PREPAROMECANICO</t>
  </si>
  <si>
    <t>MEIOS-FIOS</t>
  </si>
  <si>
    <t>00149</t>
  </si>
  <si>
    <t>14574</t>
  </si>
  <si>
    <t>PO DE PEDRA, PARA REGIAO METROPOLITANA DO RIO DE JANEIRO</t>
  </si>
  <si>
    <t>00001</t>
  </si>
  <si>
    <t>AREIA LAVADA, GROSSA, PARA REGIAO METROPOLITANA DO RIO DE JANEIRO</t>
  </si>
  <si>
    <t>20046</t>
  </si>
  <si>
    <t>MAO-DE-OBRA DE CARPINTEIRO DE FORMA DE CONCRETO, INCLUSIVE ENCARGOS SOCIAIS DESONERADOS</t>
  </si>
  <si>
    <t>21.001.0060-A</t>
  </si>
  <si>
    <t>14559</t>
  </si>
  <si>
    <t>BRITA 3, PARA REGIAO METROPOLITANA DO RIO DE JANEIRO</t>
  </si>
  <si>
    <t xml:space="preserve">Orç. nº :  </t>
  </si>
  <si>
    <t>Rev. nº :</t>
  </si>
  <si>
    <t xml:space="preserve">Data : </t>
  </si>
  <si>
    <t>SUBTOTAL 1.0</t>
  </si>
  <si>
    <t>SUBTOTAL 2.0</t>
  </si>
  <si>
    <t>SUBTOTAL GERAL</t>
  </si>
  <si>
    <t>TOTAL GERAL</t>
  </si>
  <si>
    <t>J.Nardelli</t>
  </si>
  <si>
    <t>00</t>
  </si>
  <si>
    <t>Cálculo do BDI -  DESONERADO</t>
  </si>
  <si>
    <t>LEVANTAMENTO: J.NARDELLI</t>
  </si>
  <si>
    <t>MEMÓRIA DE CÁLCULO  DE PREÇOS</t>
  </si>
  <si>
    <t>CALÇADA</t>
  </si>
  <si>
    <t>1.11</t>
  </si>
  <si>
    <t>PROJETO</t>
  </si>
  <si>
    <t>1.12</t>
  </si>
  <si>
    <t>ESCAVACAO MANUAL EM MATERIAL DE 1¦CATEGORIA,A CEU ABERTO,ATE 0,50M DE PROFUNDIDADE COM REMOCAO ATE 1 DAM (OBS.:3% - DESGASTE DE FERRAMENTAS E EPI).</t>
  </si>
  <si>
    <t>03.001.0085-B</t>
  </si>
  <si>
    <t>ESCAVACAO MANUAL EM MATERIAL DE 1¦CATEGORIA,A CEU ABERTO,PARA PROFUNDIDADES MAIORES QUE 0,50M COM REMOCAO ATE 1 DAM (OBS.:3%-DESGASTE DE FERRAMENTAS E EPI).</t>
  </si>
  <si>
    <t>1.13</t>
  </si>
  <si>
    <t>CARGA MANUAL E DESCARGA MECANICA DE MATERIAL A GRANEL(AGREGADOS,PEDRA-DE-MAO,PARALELOS,TERRA E ESCOMBROS),COMPREENDENDO OS TEMPOS PARA CARGA,DESCARGA E MANOBRAS DO CAMINHAO BASCULANTE A OLEO DIESEL,COM CAPACIDADE UTIL DE 8T,EMPREGANDO 4 SER VENTES NA CARGA (OBS.:3%-DESGASTE DE FERRAMENTAS E EPI).</t>
  </si>
  <si>
    <t>RETIRADA DE POSTE DE CONCRETO OU ACO,DE 3,50 A 9,00M (OBS.:3%-DESGASTE DE FERRAMENTAS E EPI).</t>
  </si>
  <si>
    <t>08.020.0008-A</t>
  </si>
  <si>
    <t>PAVIMENTACAO LAJOTAS CONCRETO,ALTAMENTE VIBRADO,INTERTRAVADO,C/ARTICULACAO VERTICAL,PRE-FABRICADOS,COR-NATURAL,ESP.6CM,R ESISTENCIA A COMPRESSAO 35MPA,ASSENTES SOBRE COLCHAO PO-DE-PEDRA,AREIA OU MATERIAL EQUIVALENTE,C/JUNTAS TOMADAS C/ARGAMA SSA CIMENTO E AREIA,TRACO 1:4 E/OU C/PEDRISCO E ASFALTO,EXCL.PREPARO TERRENO,C/FORN.DE TODOS OS MAT.,BEM COMO A COLOCAC. (OBS.:3%-DESGASTE DE FERRAMENTAS E EPI).</t>
  </si>
  <si>
    <t>04248</t>
  </si>
  <si>
    <t>LAJOTA PRE-FABRICADA DE CONCRETO P/PAVIM.C/06CM DE ESPES.RESIST.MIN.35 MPA, CORNATURAL CINZA</t>
  </si>
  <si>
    <t>08.020.0008-5</t>
  </si>
  <si>
    <t>ASSENTAMENTO DE POSTE RETO,DE ACO DE 3,50 ATE 6,00M,COM ENGASTAMENTO DA PARTE INFERIOR DA COLUNA DIRETAMENTE NO SOLO,EXC LUSIVE FORNECIMENTO DO POSTE (OBS.:3%-DESGASTE DE FERRAMENTAS E EPI).</t>
  </si>
  <si>
    <t>14569</t>
  </si>
  <si>
    <t>PO DE PEDRA, PARA REGIAO DE BARRA MANSA,EXCLUSIVE TRANSPORTE</t>
  </si>
  <si>
    <t>13813</t>
  </si>
  <si>
    <t>AREIA LAVADA, GROSSA, PARA REGIAO DE BARRA MANSA, EXCLUSIVE TRANSPORTE</t>
  </si>
  <si>
    <t>14557</t>
  </si>
  <si>
    <t>BRITA 3, PARA REGIAO DE BARRA MANSA, EXCLUSIVE TRANSPORTE</t>
  </si>
  <si>
    <t>00453</t>
  </si>
  <si>
    <t>PREGO COM OU SEM CABECA, EM CAIXAS DE 50KG, OU QUANTIDADES EQUIVALENTES, N§12X12A 18X30</t>
  </si>
  <si>
    <t>00368</t>
  </si>
  <si>
    <t>PINUS, EM PECAS DE 7,50X7,50CM (3"X3")</t>
  </si>
  <si>
    <t>08/10/2019</t>
  </si>
  <si>
    <t>Substituição e acréscimo dos abrigos e urbanização do entorno no ponto de ônibus sito a Rua José Marcelino de Camargo, em frente a Rua José Martorano, Centro.</t>
  </si>
  <si>
    <t>DATA: 08/10/2019</t>
  </si>
  <si>
    <t>SEVIÇOS PRELIMINARES</t>
  </si>
  <si>
    <t>02.020.0002-A</t>
  </si>
  <si>
    <t>02.011.0010-A</t>
  </si>
  <si>
    <t>02.002.0007-A</t>
  </si>
  <si>
    <t>13732</t>
  </si>
  <si>
    <t>TELHA TRAPEZOIDAL EM ACO GALVANIZADO, ESPESSURA DE 0,5MM</t>
  </si>
  <si>
    <t>20045</t>
  </si>
  <si>
    <t>MAO-DE-OBRA DE CARPINTEIRO DE ESQUADRIASDE MADEIRA, INCLUSIVE ENCARGOS SOCIAISDESONERADOS</t>
  </si>
  <si>
    <t>AJUSTE</t>
  </si>
  <si>
    <t>DE 4 VEZES PARA 3 VEZES A UTILIZAÇÃO</t>
  </si>
  <si>
    <t>TELHA TRAPEZOIDAL EM ACO GALVANIZADO, ESPESSURA DE 0,5MM =0,2625*4/3</t>
  </si>
  <si>
    <t>SUBTOTAL</t>
  </si>
  <si>
    <t>1 UNID.</t>
  </si>
  <si>
    <t>LEVANTAMENTO DIRETO NO DESENHO EM CAD</t>
  </si>
  <si>
    <t>TAPUME DE VEDACAO OU PROTECAO EXECUTADO COM TELHAS TRAPEZOIDAIS DE ACO GALVANIZADO,ESPESSURA DE 0,5MM,ESTAS COM 4 VEZES DE UTILIZACAO,INCLUSIVE ENGRADAMENTO DE MADEIRA,UTILIZADO 2VEZES, EXCLUSIVE PINTURA (OBS.:3% - DESGASTE DE FERRAMENTAS E EPI).</t>
  </si>
  <si>
    <t>02.002.0007-5</t>
  </si>
  <si>
    <t>TAPUME DE VEDACAO OU PROTECAO, 2,00M DE ALTURA, EXECUTADO COM TELHAS TRAPEZOIDAIS DE ACO GALVANIZADO, ESPESSURA DE 0,5MM, ESTAS COM 3 VEZES DE UTILIZACAO, INCLUSIVE ENGRADAMENTO DE MADEIRA, UTILIZADO 2 VEZES, EXCLUSIVE PINTURA (OBS.:3% - DESGASTE DE FERRAMENTAS E EPI).</t>
  </si>
  <si>
    <t>PINUS, EM PECAS DE 7,50X7,50CM (3"X3") =0,8*2/3</t>
  </si>
  <si>
    <t>CERCA PROTETORA DE BORDA DE VALA OU OBRA, COM TELA PLASTICA NA COR LARANJA OU AMARELA, CONSIDERANDO 2 VEZES DE UTILIZACAO, INCLUSIVE APOIOS, FORNECIMENTO, COLOCACAO E RETIRADA (OBS.:45%-MAO DE OBRA,APOIOS E PERDAS DE MATERIAL).</t>
  </si>
  <si>
    <t>LEVANTAMENTO PELO PROJETISTA</t>
  </si>
  <si>
    <t>2 UNID</t>
  </si>
  <si>
    <t>3 UNID</t>
  </si>
  <si>
    <t>05.002.0014-A</t>
  </si>
  <si>
    <t>05.001.0128-A</t>
  </si>
  <si>
    <t>REMOCAO DE TUBO DE CONCRETO COM D.N ACIMA DE 1500MM (OBS.:3%-DESGASTE DE FERRAMENTAS E EPI).</t>
  </si>
  <si>
    <t>30523</t>
  </si>
  <si>
    <t>19.004.0080-C GUINDAUTO 3,5T, ALCANCE 5,90M (CP)</t>
  </si>
  <si>
    <t>LARGURA</t>
  </si>
  <si>
    <t>05.001.0128-5</t>
  </si>
  <si>
    <t>UTILIZAÇÃO DO ITEM DE MANILHA PELA SEMELHANÇA DE FORMATO E MATERIAL</t>
  </si>
  <si>
    <t>REMOÇÃO, UTILIZANDO GUINDAUTO, DE ESTRUTURA DE CONCRETO PRÉ-MOLDADO (ABRIGO DE PONTO DE ÔNIBUS) COM FORMA DE MEIA LUA DE 2,80M DE ALTURA, 2,20 DE PROFUNDIDADE E 6 MODULOS DE 0,50M DE LARGURA PERFAZENDO 3,00M DE LARGURA TOTAL. ENGASTADO EM PISO DE CONDRETO. COM CARGA DIRETAMENTO NO CAMINHÃO.</t>
  </si>
  <si>
    <t>DEMOLICAO COM EQUIPAMENTO DE AR COMPRIMIDO,DE PASSEIO CIMENTADO COM ESPESSURA ATE 10CM,INCLUSIVE EMPILHAMENTO LATERAL DENTRO DO CANTEIRO DE SERVICO (OBS.:3%-DESGASTE DE FERRAMENTAS E EPI).</t>
  </si>
  <si>
    <t>ATERRO DA CALÇADA</t>
  </si>
  <si>
    <t>ABRIGOS</t>
  </si>
  <si>
    <t>04.005.0120-A</t>
  </si>
  <si>
    <t>TRANSPORTE DE CARGA DE QUALQUER NATUREZA,EXCLUSIVE AS DESPESAS DE CARGA E DESCARGA,TANTO DE ESPERA DO CAMINHAO COMO DO S ERVENTE OU EQUIPAMENTO AUXILIAR,A VELOCIDADE MEDIA DE 50KM/H,EM CAMINHAO BASCULANTE A OLEO DIESEL,COM CAPACIDADE UTIL DE 8T</t>
  </si>
  <si>
    <t>08.012.0001-A</t>
  </si>
  <si>
    <t>LEVANTAMENTO E REASSENTAMENTO DE MEIO-FIO (OBS.:3%-DESGASTE DE FERRAMENTAS E EPI).</t>
  </si>
  <si>
    <t>LEVANTAMENTO C/FERRAMENTA CAD</t>
  </si>
  <si>
    <t>05.002.0004-A</t>
  </si>
  <si>
    <t>DEMOLICAO,COM EQUIPAMENTO DE AR COMPRIMIDO,DE MASSAS DE CONCRETO ARMADO,EXCETO PISOS OU PAVIMENTOS,INCLUSIVE EMPILHAMENT O LATERAL DENTRO DO CANTEIRO DE SERVICO</t>
  </si>
  <si>
    <t>CONCRETO ARMADO</t>
  </si>
  <si>
    <t>MEIOS-FIOS, CALÇADA, CONCRETO</t>
  </si>
  <si>
    <t>NOVA RAMPA</t>
  </si>
  <si>
    <t>PLATAFORMA</t>
  </si>
  <si>
    <t>11.013.0130-A</t>
  </si>
  <si>
    <t>CONCRETO ARMADO,FCK=20MPA,INCLUINDO MATERIAIS PARA 1,00M3 DE CONCRETO(IMPORTADO DE USINA)ADENSADO E COLOCADO,12,00M2 DE AREA MOLDADA,FORMAS CONFORME O ITEM 11.004.0022,60KG DE ACOCA-50,INCLUSIVE MAO-DE-OBRA PARA CORTE,DOBRAGEM,MONTAGEM E C OLOCACAO NAS FORMAS,EXCLUSIVE ESCORAMENTO (OBS.:3%-DESGASTE DE FERRAMENTAS E EPI).</t>
  </si>
  <si>
    <t>COMPOSIÇÃO</t>
  </si>
  <si>
    <t>11.090.0610-0</t>
  </si>
  <si>
    <t>13646</t>
  </si>
  <si>
    <t>SILICA ATIVA (MICROSSILICA) PARA CONCRETO</t>
  </si>
  <si>
    <t>05977</t>
  </si>
  <si>
    <t>EMULSAO ACRILICA ESTIRENADA</t>
  </si>
  <si>
    <t>CIMENTO PORTLAND CP II 32, EM SACO DE 50KG</t>
  </si>
  <si>
    <t>01999</t>
  </si>
  <si>
    <t>MAO-DE-OBRA DE SERVENTE DA CONSTRUCAO CIVIL, INCLUSIVE ENCARGOS SOCIAIS</t>
  </si>
  <si>
    <t>01968</t>
  </si>
  <si>
    <t>MAO-DE-OBRA DE PEDREIRO, INCLUSIVE ENCARGOS SOCIAIS</t>
  </si>
  <si>
    <t>RECOMPOSICAO DE CAPEAMENTO DE CONCRETO E PEQUENAS ESPESSURAS EM SERVICOS DE RECUPERACAO ESTRUTURAL,COM ARGAMASSA DE CIMENTO E AREIA NO TRACO 1:3 ADITIVADA COM RESINA ACRILICA NA PROPORCAO 50ML/M3 DE ARGAMASSA E SILICA ATIVA NA PROPORCAO DE 5% A 10% DE CIMENTO (OBS.:3%-DESGASTE DE FERRAMENTAS E EPI).</t>
  </si>
  <si>
    <t>RECOMPOSIÇÃO DE CAMADA DE CAPEAMENTO DE CINTA DE CONCRETO ARMADO, COMPREENDENDO ESCARIFICAÇÃO DAS PARTES DANIFICADAS E REVESTIMENTO COM ESPESSURA ENTRE 1CM E 2CM COM ARGAMASSA DE CIMENTO E AREIA NO TRACO 1:3 ADITIVADA COM RESINA ACRILICA NA PROPORCAO 50ML/M3 DE ARGAMASSA E SILICA ATIVA NA PROPORCAO DE 5% A 10% DE CIMENTO</t>
  </si>
  <si>
    <t>ESPESSURA MÉDIA</t>
  </si>
  <si>
    <t>11.090.0610-5</t>
  </si>
  <si>
    <t>PREVISÃO DE PERDA NO LEV. E REASSENTAMENT0</t>
  </si>
  <si>
    <t>03.009.0015-A</t>
  </si>
  <si>
    <t>ATERRO COM MATERIAL DE 1¦ CATEGORIA,COMPACTADO MANUALMENTE EM CAMADAS DE 20CM DE MATERIAL APILOADO,PROVENIENTE DE JAZIDA DISTANTE ATE 10KM,INCLUSIVE ESCAVACAO,CARGA,TRANSPORTE EM CAMINHAO BASCULANTE,DESCARGA,ESPALHAMENTO E IRRIGACAO MANUAIS (OBS.:3%-DESGASTE DE FERRAMENTAS E EPI).</t>
  </si>
  <si>
    <t>03.009.0004-A</t>
  </si>
  <si>
    <t>ATERRO COM MATERIAL DE 1¦CATEGORIA,COMPACTADO MANUALMENTE EM CAMADAS DE 20CM,ATE UMA ALTURA MAXIMA DE 80CM,PARA SUPORTE DE CAMADA DE CONCRETO,INCLUSIVE DOIS TIROS DE PA,ESPALHAMENTO E REGA,EXCLUSIVE FORNECIMENTO DA TERRA (OBS.:3%-DESGASTE DE FERRAMENTAS E EPI).</t>
  </si>
  <si>
    <t>03.009.0004-5</t>
  </si>
  <si>
    <t>02249</t>
  </si>
  <si>
    <t>CONCRETO IMPORTADO DE USINA, UTILIZANDOBRITA 1, DE 20MPA</t>
  </si>
  <si>
    <t>20015</t>
  </si>
  <si>
    <t>MAO-DE-OBRA DE ARMADOR DE CONCRETO ARMADO, INCLUSIVE ENCARGOS SOCIAIS DESONERADOS</t>
  </si>
  <si>
    <t>30731</t>
  </si>
  <si>
    <t>19.007.0013-E VIBRADOR IMERSAO ELETR. 2CV (CI)</t>
  </si>
  <si>
    <t>30730</t>
  </si>
  <si>
    <t>19.007.0013-C VIBRADOR IMERSAO ELETR. 2CV (CP)</t>
  </si>
  <si>
    <t>01.001.0075-B</t>
  </si>
  <si>
    <t>JARDINEIRAS</t>
  </si>
  <si>
    <t>CINTA</t>
  </si>
  <si>
    <t>PILARETES</t>
  </si>
  <si>
    <t>ESCACAS</t>
  </si>
  <si>
    <t>PERFURACAO MANUAL DE SOLO,A TRADO ATE 6" (OBS.:3% - DESGASTE DE FERRAMENTAS E EPI). - ESTACAS, PROF. 1,50M</t>
  </si>
  <si>
    <t>03.011.0015-B</t>
  </si>
  <si>
    <t>REATERRO DE VALA/CAVA COM MATERIAL DE BOA QUALIDADE,UTILIZANDO VIBRO COMPACTADOR PORTATIL, EXCLUSIVE MATERIAL (OBS.:3%-DESGASTE DE FERRAMENTAS E EPI).</t>
  </si>
  <si>
    <t>12.005.0030-A</t>
  </si>
  <si>
    <t>ALVENARIA DE BLOCOS DE CONCRETO 15X20X40CM,ASSENTES COM ARGAMASSA DE CIMENTO E AREIA,NO TRACO 1:8,EM PAREDES DE 0,15M DE ESPESSURA,DE SUPERFICIE CORRIDA,ATE 3,00M DE ALTURA E MEDIDA PELA AREA REAL (OBS.:3%-DESGASTE DE FERRAMENTAS E EPI).</t>
  </si>
  <si>
    <t>13.075.0010-A</t>
  </si>
  <si>
    <t>REVESTIMENTO DE PAREDES OU MUROS COM FILETES DERIVADOS DE PEDRAS COM ESPESSURA DE 1,5 A 4,0CM.FORNECIMENTO E COLOCACAO (OBS.:3%-DESGASTE DE FERRAMENTAS E EPI).</t>
  </si>
  <si>
    <t>13.001.0020-B</t>
  </si>
  <si>
    <t>EMBOCO COM ARGAMASSA DE CIMENTO E AREIA,NO TRACO 1:2 COM 1,5CM DE ESPESSURA,INCLUSIVE CHAPISCO DE CIMENTO E AREIA,NO TRA CO 1:3 (OBS.:3%-DESGASTE DE FERRAMENTAS E EPI).</t>
  </si>
  <si>
    <t>11212</t>
  </si>
  <si>
    <t>FILETES DERIVADOS DE PEDRAS COM ESPESSURA DE 1,5 A 4,0CM</t>
  </si>
  <si>
    <t>30170</t>
  </si>
  <si>
    <t>07.005.0010-B ARGAMASSA CIM.,CAL E AREIA FINA,TRACO1:3:5,PREPARO MECANICO</t>
  </si>
  <si>
    <t>REVESTIMENTO DE PAREDES OU MUROS COM FILETES DERIVADOS DE PEDRAS ("LAJINHA") COM ESPESSURA DE 1,5CM, COM ARGAMASSA DE ARGAMASSA CIM., CAL E AREIA FINA,TRACO1:3:5. FORNECIMENTO E COLOCACAO (OBS.:3%-DESGASTE DE FERRAMENTAS E EPI).</t>
  </si>
  <si>
    <t>13.075.0010-5</t>
  </si>
  <si>
    <t>PAVIMENTACAO LAJOTAS CONCRETO, JUNTAS RETA (SEM ANGULO ENTRE AS LAJOTAS), ALTAMENTE VIBRADO, INTERTRAVADO, C/ARTICULACAO VERTICAL,PRE-FABRICADOS, COR-NATURAL,ESP.6CM, RESISTENCIA A COMPRESSAO 35MPA, ASSENTES SOBRE COLCHAO PO-DE-PEDRA, AREIA OU MATERIAL EQUIVALENTE, C/JUNTAS TOMADAS C/ARGAMASSA CIMENTO E AREIA,TRACO 1:4 ,EXCL.PREPARO TERRENO,C /FORN. DE TODOS OS MAT., BEM COMO A COLOCAC. (OBS.:3%-DESGASTE DE FERRAMENTAS E EPI).</t>
  </si>
  <si>
    <t>13.416.0010-A</t>
  </si>
  <si>
    <t>PISO TATIL DE BORRACHA,DIRECIONAL,PARA PESSOAS COM NECESSIDADES ESPECIFICAS,25X25CM,ESPESSURA DE 5MM,NA COR PRETA,COLADO SOBRE BASE EXISTENTE.FORNECIMENTO E COLOCACAO</t>
  </si>
  <si>
    <t>13.416.0015-A</t>
  </si>
  <si>
    <t>PISO TATIL DE BORRACHA,ALERTA,PARA PESSOAS COM NECESSIDADES ESPECIFICAS,25X25CM, ESPESSURA DE 5MM, NA COR PRETA, COLADO SOBRE BASE EXISTENTE.FORNECIMENTO E COLOCACAO</t>
  </si>
  <si>
    <t>30693</t>
  </si>
  <si>
    <t>19.006.0030-C SOQUETE VIBRATORIO 78KG; 2,5CV (CP)</t>
  </si>
  <si>
    <t>30735</t>
  </si>
  <si>
    <t>19.007.0016-E REGUA VIBRADORA DUPLA 3,4CV (CI)</t>
  </si>
  <si>
    <t>30694</t>
  </si>
  <si>
    <t>19.006.0030-E SOQUETE VIBRATORIO 78KG; 2,5CV (CI)</t>
  </si>
  <si>
    <t>30734</t>
  </si>
  <si>
    <t>19.007.0016-C REGUA VIBRADORA DUPLA 3,4CV (CP)</t>
  </si>
  <si>
    <t>07246</t>
  </si>
  <si>
    <t>TELA P/ESTRUTURA DE CONCRETO ARMADO, FORMADA POR FIOS DE ACO CA-60, DIAM.4,2MM EESPACAMENTO ENTRE ELES DE (15X15)CM</t>
  </si>
  <si>
    <t>04900</t>
  </si>
  <si>
    <t>PLASTICO NA COR PRETA, COM ESPESSURA DE0,15MM</t>
  </si>
  <si>
    <t>13.373.0020-A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</si>
  <si>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</si>
  <si>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ESPESSURA</t>
  </si>
  <si>
    <t>PISO DE CONCRETO ARMADO MONOLITICO, C/JUNTA FRIA, ALISADO C/REGUA VIBRATORIA, ESPESSURA 8CM, SOBRE TERRENO ACERTADO E SOBRE LASTRO DE BRITA, INCLUSIVE BRITA, LONA DE TECIDO RESINADO, TELA SOLDADA 15X15CM #4,2MM(DUPLA), CONCRETO USINADO RESISTENCIA A COMPRESSAO 20MPA C/TRANSPORTE DO CONCRETO E TODA A MAO-DE-OBRA E EQUIPAMENTOS NECESSARIOS (OBS.:3%-DESGASTE DE FERRAMENTAS E EPI).</t>
  </si>
  <si>
    <t>CONCRETO IMPORTADO DE USINA, UTILIZANDOBRITA 1, DE 20MPA =0,105/10*8</t>
  </si>
  <si>
    <t>MAO-DE-OBRA DE PEDREIRO, INCLUSIVE ENCARGOS SOCIAIS DESONERADOS =0,6695/10*8</t>
  </si>
  <si>
    <t>MAO-DE-OBRA DE SERVENTE DA CONSTRUCAO CIVIL, INCLUSIVE ENCARGOS SOCIAIS DESONERADOS =1,15875-0,67+(0,67/10*8)</t>
  </si>
  <si>
    <t>13.373.0020-5</t>
  </si>
  <si>
    <t>05.035.0003-A</t>
  </si>
  <si>
    <t>PLACA DE IDENTIFICACAO DE OBRA PUBLICA, IPO BANNER/PLOTTER, ONSTITUIDA POR LONA E IMPRESSAO DIGITAL, NCLUSIVE SUPORTES D E MADEIRA.FORNECIMENTO E COLOCACAO (OBS.:3% - DESGASTE DE FERRAMENTAS E EPI).</t>
  </si>
  <si>
    <t>CERCA DE VEDACAO ESTRUTURADA EM PECAS DE MADEIRA DE 3"X3", FORMANDO QUADROS DE 2,00X2,00M, COM TRAVESSA INFERIOR A 12,5CM DO SOLO, REVESTIDOS COM TELA GALVANIZADA DE ARAME N§12, COM MALHA LOSANGO DE 8X8CM, SENDO O MADEIRAMENTO PINTADO COM DUAS D EMAOS DE IMUNIZANTE FUNGICIDA A BASE DE OLEO DE CREOSOTO, ANTES DA COLOCACAO. FORNECIMENTO E COLOCACAO (OBS.:3%-DESGASTE DE FERRAMENTAS E EPI).</t>
  </si>
  <si>
    <t>BANCO DE DORMENTE</t>
  </si>
  <si>
    <t>00665</t>
  </si>
  <si>
    <t>PARAFUSO DE LATAO, ROSCA SOBERBA, CABECACHATA, DE 5,5MMX2.1/2". FORNECIMENTO E COLOCAÇÃO</t>
  </si>
  <si>
    <t>14.006.0695-5</t>
  </si>
  <si>
    <t>14.006.0695-A</t>
  </si>
  <si>
    <t>CJ</t>
  </si>
  <si>
    <t>01.001.0077-A</t>
  </si>
  <si>
    <t>05.026.0004-A</t>
  </si>
  <si>
    <t>11.003.0014-B</t>
  </si>
  <si>
    <t>11284-5</t>
  </si>
  <si>
    <t>SUPORTE PARA BANCO DE MADEIRA (PÉS) EM BARRA CHATA DE 4"X 1/2", COMREENDENDO CORTES, DOBRAGEM E SOLDAS DO PERFIL. FIXADO EM PILARETE A TRADO DE 10" EM CICLOPICO CONFECCIONADO COM CONCRETO DOSADO PARA UMA RESISTENCIA CARACTERISTICA A COMPRESSAO DE 10MPA,TENDO 30% DO VOLUME REAL OCUPADO POR PEDRA-DE-MAO. FORNECIMENTO E ASSENTAMENTO</t>
  </si>
  <si>
    <t>11254</t>
  </si>
  <si>
    <t>BARRA CHATA DE ACO, DE 2"X1/2"</t>
  </si>
  <si>
    <t>BARRA CHATA DE ACO, DE 4"X1/2" =(1,12+0,452+0,2*2)*10,13</t>
  </si>
  <si>
    <t>05.025.0047-B</t>
  </si>
  <si>
    <t>ILUMINAÇÃO</t>
  </si>
  <si>
    <t>06.069.0005-A</t>
  </si>
  <si>
    <t>DUTO ANELAR FLEXIVEL,NA COR CINZA CONCRETO,SINGELO,DE POLIETILENO DE ALTA DENSIDADE(PEAD),PARA PROTECAO DE CONDUTORES EL ETRICOS,COM DIAMETRO NOMINAL DE 1 1/4",SENDO O DIAMETRO INTERNO DE 31,0MM,COM FIO GUIA DE ACO E FORNECIDO COM 2 PLUGUES( TAMPOES) NAS EXTREMIDADES,LANCADO DIRETAMENTE NO SOLO,INCLUSIVE CONEXOES E KIT VEDACAO (OBS.:3% - DESGASTE DE FERRAMENTAS E EPI).</t>
  </si>
  <si>
    <t>CAIXA HAND-HOLE,PRE-MOLDADA,EM ANEL DE CONCRETO,CONFORME PROJETO N§ A4-1683-PD,RIOLUZ,COM DIMENSOES DE 0,30X0,30M.FORNECIMENTO E ASSENTAMENTO (OBS.:3%-DESGASTE DE FERRAMENTAS E EPI).</t>
  </si>
  <si>
    <t>15.008.0159-A</t>
  </si>
  <si>
    <t>CABO DE COBRE COM ISOLACAO SOLIDA EXTRUDADA,COM BAIXA EMISSAO DE FUMACA,BIPOLAR,2X4MM2,ISOLAMENTO 0,6/1KV,COMPREENDENDO: PREPARO,CORTE E ENFIACAO EM ELETRODUTOS.FORNECIMENTO E COLOCACAO (OBS.:3%-DESGASTE DE FERRAMENTAS E EPI).</t>
  </si>
  <si>
    <t>ANTEPROJETO</t>
  </si>
  <si>
    <t>15.036.0072-A</t>
  </si>
  <si>
    <t>ELETRODUTO DE PVC RIGIDO ROSQUEAVEL DE 1.1/4",INCLUSIVE CONEXOES E EMENDAS,EXCLUSIVE ABERTURA E FECHAMENTO DE RASGO.FORN ECIMENTO E ASSENTAMENTO (OBS.:3%-DESGASTE DE FERRAMENTAS E EPI 10%-CONEXOES E EMENDAS).</t>
  </si>
  <si>
    <t>LUMINARIA FECHADA,PARA ILUMINACAO DE PRACAS,RUAS ESTACIONAMENTOS OU VIADUTOS,TIPO TREVO,INSTALADA EM NUCLEO,PARA 1 PETAL A,COM CORPO EM LIGA DE ALUMINIO FUNDIDO,REFRATOR PRISMATICOEM LENTE DE CRISTAL TEMPERADO PARA LAMPADA DE VAPOR DE MERCU RIO,VAPOR DE SODIO OU VAPOR METALICO ATE 400W,EXCLUSIVE LAMPADA E REATOR.FORNECIMENTO E COLOCACAO (OBS.:3%-DESGASTE DE FERRAMENTAS E EPI).</t>
  </si>
  <si>
    <t>PAISAGISMO</t>
  </si>
  <si>
    <t>09.006.0003-A</t>
  </si>
  <si>
    <t>ENCHIMENTO DE CAVAS,SENDO UM TERCO COM TERRA PRETA VEGETAL (OBS.:3%-DESGASTE DE FERRAMENTAS E EPI).</t>
  </si>
  <si>
    <t>09.003.0144-A</t>
  </si>
  <si>
    <t>ESPECIES VEGETAIS COM ALTURA DE(0,60 A 1,50)M,TIPO CALLIANDRA TWEEDII(ESPONJINHA VERMELHA), HIBISCUS ROSA-SINENSIS(HIBIS CO ARGENTINO), MALVAVISCUS ARBOREUS (HIBISCO COLIBRI) OU SIMILAR E CONSIDERANDO 4 MUDAS POR M2.FORNECIMENTO</t>
  </si>
  <si>
    <t>09.003.0162-A</t>
  </si>
  <si>
    <t>ESPECIES VEGETAIS COM ALTURA DE(0,10 A 0,40)M,TIPO JASMIM ESTRELA,CAETIZINHO,CANA DA INDIA, CANA-INDICA,BIRI, CURCULIGO, GENGIBRE AZUL,IXORA ANA,PLANTA DA VIDA,ARARUTA,RHOEO,COPO DELEITE OU SIMILAR E CONSIDERANDO 12 MUDAS P/M2.FORNECIMENTO</t>
  </si>
  <si>
    <t>09.002.0015-A</t>
  </si>
  <si>
    <t>PLANTIO DE PLANTAS DE COBERTURA VEGETAL,CONSIDERANDO 4 MUDAS/M2,EXCLUSIVE FORNECIMENTO DA PLANTA</t>
  </si>
  <si>
    <t>09.002.0019-A</t>
  </si>
  <si>
    <t>PLANTIO DE PLANTAS DE COBERTURA VEGETAL,CONSIDERANDO 12 MUDAS/M2,EXCLUSIVE FORNECIMENTO DA PLANTA</t>
  </si>
  <si>
    <t>3.0</t>
  </si>
  <si>
    <t>URBANIZAÇÃO</t>
  </si>
  <si>
    <t>3.1</t>
  </si>
  <si>
    <t>3.1.1</t>
  </si>
  <si>
    <t>3.1.2</t>
  </si>
  <si>
    <t>3.1.3</t>
  </si>
  <si>
    <t>3.1.4</t>
  </si>
  <si>
    <t>3.1.5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</si>
  <si>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</si>
  <si>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</si>
  <si>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</si>
  <si>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</si>
  <si>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</si>
  <si>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</si>
  <si>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</si>
  <si>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</si>
  <si>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</si>
  <si>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</si>
  <si>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SUBTOTAL 3.0</t>
  </si>
  <si>
    <t>4.0</t>
  </si>
  <si>
    <t>4.1</t>
  </si>
  <si>
    <t>4.2</t>
  </si>
  <si>
    <t>4.3</t>
  </si>
  <si>
    <t>4.4</t>
  </si>
  <si>
    <t>4.5</t>
  </si>
  <si>
    <t>SUBTOTAL 4.0</t>
  </si>
  <si>
    <t>5.0</t>
  </si>
  <si>
    <t>5.1</t>
  </si>
  <si>
    <t>5.2</t>
  </si>
  <si>
    <t>5.3</t>
  </si>
  <si>
    <t>5.4</t>
  </si>
  <si>
    <t>5.5</t>
  </si>
  <si>
    <t>SUBTOTAL 5.0</t>
  </si>
  <si>
    <t>09.003.0144-5</t>
  </si>
  <si>
    <t>PREÇO UNITÁRIO</t>
  </si>
  <si>
    <t>09.002.0015-5</t>
  </si>
  <si>
    <t>09.003.0162-5</t>
  </si>
  <si>
    <t>09.002.0019-5</t>
  </si>
  <si>
    <t>6.0</t>
  </si>
  <si>
    <t>6.1</t>
  </si>
  <si>
    <t>05.012.0001-A</t>
  </si>
  <si>
    <t>16.005.0075-A</t>
  </si>
  <si>
    <t>FUNDAÇÃO</t>
  </si>
  <si>
    <t>01.001.0078-A</t>
  </si>
  <si>
    <t>PERFURACAO MANUAL DE SOLO,A TRADO ACIMA DE 10" (OBS.:3% - DESGASTE DE FERRAMENTAS E EPI). - 12"</t>
  </si>
  <si>
    <t>6.1.1</t>
  </si>
  <si>
    <t>6.1.2</t>
  </si>
  <si>
    <t>6.1.3</t>
  </si>
  <si>
    <t>6.1.4</t>
  </si>
  <si>
    <t>6.1.5</t>
  </si>
  <si>
    <t>11.002.0012-B</t>
  </si>
  <si>
    <t>PREPARO DE CONCRETO,COMPREENDENDO MISTURA E AMASSAMENTO EM UMA BETONEIRA DE 600L,ADMITINDO-SE UMA PRODUCAO APROXIMADA DE 3,50M3/H,EXCLUINDO O FORNECIMENTO DOS MATERIAIS (OBS.:3%-DESGASTE DE FERRAMENTAS E EPI).</t>
  </si>
  <si>
    <t>11.001.0007-B</t>
  </si>
  <si>
    <t>CONCRETO DOSADO RACIONALMENTE PARA UMA RESISTENCIA CARACTERISTICA A COMPRESSAO DE 25MPA,COMPREENDENDO APENAS O FORNECIME NTO DOS MATERIAIS,INCLUSIVE 5% DE PERDAS (OBS.:5%-PERDAS).</t>
  </si>
  <si>
    <t>11.002.0034-B</t>
  </si>
  <si>
    <t>LANCAMENTO DE CONCRETO EM PECAS SEM ARMADURA,INCLUSIVE O TRANSPORTE HORIZONTAL ATE 20,00M EM CARRINHOS,COLOCACAO,ADENSAM ENTO E ACABAMENTO,CONSIDERANDO UMA PRODUCAO APROXIMADA DE 3,50M3/H (OBS.:3%-DESGASTE DE FERRAMENTAS E EPI).</t>
  </si>
  <si>
    <t>6.1.6</t>
  </si>
  <si>
    <t>6.1.7</t>
  </si>
  <si>
    <t>6.1.8</t>
  </si>
  <si>
    <t>11.001.0005-B</t>
  </si>
  <si>
    <t>CONCRETO DOSADO RACIONALMENTE PARA UMA RESISTENCIA CARACTERISTICA A COMPRESSAO DE 15MPA,COMPREENDENDO APENAS O FORNECIME NTO DOS MATERIAIS,INCLUSIVE 5% DE PERDAS (OBS.:5%-PERDAS).</t>
  </si>
  <si>
    <t>03.009.0002-B</t>
  </si>
  <si>
    <t>COMPACTACAO DE ATERRO,EM CAMADAS DE 15CM,COM MACO (OBS.:3%-DESGASTE DE FERRAMENTAS E EPI).</t>
  </si>
  <si>
    <t>6.1.9</t>
  </si>
  <si>
    <t>11.009.0013-A</t>
  </si>
  <si>
    <t>BARRA DE ACO CA-50,COM SALIENCIA OU MOSSA,COEFICIENTE DE CONFORMACAO SUPERFICIAL MINIMO (ADERENCIA) IGUAL A 1,5,DIAMETRO DE 6,3MM,DESTINADA A ARMADURA DE CONCRETO ARMADO,10% DE PERDAS DE PONTAS E ARAME 18.FORNECIMENTO</t>
  </si>
  <si>
    <t>11.009.0014-B</t>
  </si>
  <si>
    <t>BARRA DE ACO CA-50,COM SALIENCIA OU MOSSA,COEFICIENTE DE CONFORMACAO SUPERFICIAL MINIMO (ADERENCIA) IGUAL A 1,5,DIAMETRO DE 8 A 12,5MM,DESTINADA A ARMADURA DE CONCRETO ARMADO,10%DE PERDAS DE PONTAS E ARAME 18.FORNECIMENTO</t>
  </si>
  <si>
    <t>CORTE,DOBRAGEM,MONTAGEM E COLOCACAO DE FERRAGENS NAS FORMAS,ACO CA-50,EM BARRAS REDONDAS,COM DIAMETRO IGUAL A 6,3MM (OBS.:3%-DESGASTE DE FERRAMENTAS E EPI).</t>
  </si>
  <si>
    <t>11.011.0029-A</t>
  </si>
  <si>
    <t>11.011.0030-B</t>
  </si>
  <si>
    <t>CORTE,DOBRAGEM,MONTAGEM E COLOCACAO DE FERRAGENS NAS FORMAS,ACO CA-50,EM BARRAS REDONDAS,COM DIAMETRO DE 8 A 12,5MM (OBS.:3%-DESGASTE DE FERRAMENTAS E EPI).</t>
  </si>
  <si>
    <t>6.1.10</t>
  </si>
  <si>
    <t>6.1.11</t>
  </si>
  <si>
    <t>6.1.12</t>
  </si>
  <si>
    <t>6.1.13</t>
  </si>
  <si>
    <t>CHUMBAMENTO DE ROCHA,PARA REFORCO DE ABOBODA DE TUNEL,NA FASE DE ESCAVACAO,COM CHUMBADORES DE ACO CA-50,INCLUSIVE FORNEC IMENTO DE MATERIAIS,FUROS COM PERFURATRIZ,EXCLUSIVE INJECAO,SENDO MEDIDO POR KG DE VERGALHAO (OBS.:3%-DESGASTE DE FERRAMENTAS E EPI 10%-PERDAS).</t>
  </si>
  <si>
    <t>11760</t>
  </si>
  <si>
    <t>PORCA SEXTAVADA ACO CARBONO,(12X1,75)MM</t>
  </si>
  <si>
    <t>11750</t>
  </si>
  <si>
    <t>ARRUELA DE PRESSAO, PESADA, (12,70X2,50)MM</t>
  </si>
  <si>
    <t>00021</t>
  </si>
  <si>
    <t>ACO CA-50, ESTIRADO, PRECO DE REVENDEDOR, NO DIAMETRO, DE 25,0MM</t>
  </si>
  <si>
    <t>01442</t>
  </si>
  <si>
    <t>AVANCO P/PERFURATRIZ PNEUM., C/23,5KG PESO, CONSUMO AR 56T, FREQUENCIA IMPACTOS34 IMP/S, COMPR.64CM, DIAM.PISTAO 65MM</t>
  </si>
  <si>
    <t>00121</t>
  </si>
  <si>
    <t>BROCA COM PONTA DE METAL DURO (WIDIA), CCOM HASTE DE 7/8", SERIE 11, DE (0240X32)MM</t>
  </si>
  <si>
    <t>11.020.0001-5</t>
  </si>
  <si>
    <t>SUB-TOTAL</t>
  </si>
  <si>
    <t>COMPRIMENTO</t>
  </si>
  <si>
    <t>10.014.0022-A</t>
  </si>
  <si>
    <t>11.020.0001-A</t>
  </si>
  <si>
    <t>20112</t>
  </si>
  <si>
    <t>MAO-DE-OBRA DE OPERADOR DE MAQUINAS AUX.(COMPRESSOR, ROLO COMPACTADOR LEVE...),INCLUSIVE ENCARGOS SOCIAIS DESONERADOS</t>
  </si>
  <si>
    <t>20047</t>
  </si>
  <si>
    <t>MAO-DE-OBRA DE CAVOUQUEIRO, INCLUSIVE ENCARGOS SOCIAIS DESONERADOS</t>
  </si>
  <si>
    <t>30815</t>
  </si>
  <si>
    <t>19.011.0004-E COMPRESSOR AR 335PCM 108CV (CI)</t>
  </si>
  <si>
    <t>30814</t>
  </si>
  <si>
    <t>19.011.0004-D COMPRESSOR AR 335PCM 108CV (CF)</t>
  </si>
  <si>
    <t>30813</t>
  </si>
  <si>
    <t>19.011.0004-C COMPRESSOR AR 335PCM 108CV (CP)</t>
  </si>
  <si>
    <t>30611</t>
  </si>
  <si>
    <t>19.005.0038-E PERFURATRIZ DE 26KG DE PESO (PARA USO SUBTERRANEO),EXCLUSIVE OPERADOR,BROCA E MANGUEIRA (CI)</t>
  </si>
  <si>
    <t>30610</t>
  </si>
  <si>
    <t>19.005.0038-C PERFURATRIZ DE 26KG DE PESO (PARA USO SUBTERRANEO),EXCLUSIVE OPERADOR,BROCA E MANGUEIRA (CP)</t>
  </si>
  <si>
    <t>00018</t>
  </si>
  <si>
    <t>ACO CA-50, ESTIRADO, PRECO DE REVENDEDOR, NO DIAMETRO DE 12,5MM</t>
  </si>
  <si>
    <t>CHUMBADOR EM AÇO CA-50, DIÂM. 12.5MM, COM 0,60M DE COMPRIMENTO, ROSCA TOTAL, INCLUSIVE PORCA SEXTAVADA E ARRUELA. FORNECIMENTO E ASSENTAMENTO.</t>
  </si>
  <si>
    <t>13918</t>
  </si>
  <si>
    <t>13920</t>
  </si>
  <si>
    <t>16.007.0038-A</t>
  </si>
  <si>
    <t>COT. NET</t>
  </si>
  <si>
    <t>PÇ</t>
  </si>
  <si>
    <t>VIDRO TEMPERADO INCOLOR, ESPESSURA 8MM, FORNECIMENTO E INSTALACAO, INCLUSIVE MASSA PARA VEDACAO</t>
  </si>
  <si>
    <t>SOLDA DE TOPO EM CHAPA/PERFIL/TUBO DE AÇO CHANFRADO, ESPESSURA=1/4''. AF_06/2018</t>
  </si>
  <si>
    <t>BANCO</t>
  </si>
  <si>
    <t>00418</t>
  </si>
  <si>
    <t>17.014.0010-A</t>
  </si>
  <si>
    <t>17.020.0010-A</t>
  </si>
  <si>
    <t>FUNDO PREPARADOR PRIMER A BASE DE EPOXI, PARA ESTRUTURA METALICA, UMA DEMAO, ESPESSURA DE 25 MICRA.</t>
  </si>
  <si>
    <t>PINTURA ESMALTE ACETINADO, DUAS DEMAOS, SOBRE SUPERFICIE METALICA</t>
  </si>
  <si>
    <t>17.014.0010-0</t>
  </si>
  <si>
    <t>11271</t>
  </si>
  <si>
    <t>6.2</t>
  </si>
  <si>
    <t>10.014.0022-5</t>
  </si>
  <si>
    <t>6.3</t>
  </si>
  <si>
    <t>ABRIGO DE PONTO DE ÔNIBUS, EM ESTRUTURA METÁLICA TUBULAR, COM FECHAMENTO NOS FUNDOS DE CHAPA PERFURADA, NAS LATERAIS COM VIDRO TEMPERADO, COBERTURA EM TELHAS TERMOACÚSTICAS E BANCO EM MADEIRA DE LEI ENVERNIZADA. CONFORME PROJETO DA SMPu. FORNECIMENTO E ASSENTAMENTO.</t>
  </si>
  <si>
    <t>ABRIGO</t>
  </si>
  <si>
    <t>SUBTOTAL 6.0</t>
  </si>
  <si>
    <t>UNXMES</t>
  </si>
  <si>
    <t>02.030.0020-A</t>
  </si>
  <si>
    <t>CAVALETE MINICADE (ALUGUEL),EQUIPADO COM PAINEIS REFLETIVOS DE ALTA INTENSIDADE E UM PISCA ALERTA COM CELULA FOTO-ELETRI CA,ALIMENTADA POR 2 BATERIAS DE 6V (DISPENSA O USO DE GERADOR)</t>
  </si>
  <si>
    <t>02.030.0005-A</t>
  </si>
  <si>
    <t>PLACA DE SINALIZACAO PREVENTIVA PARA OBRA NA VIA PUBLICA,DE ACORDO COM A RESOLUCAO DA PREFEITURA-RJ, COMPREENDENDO FORNE CIMENTO E PINTURA DA PLACA E DOS SUPORTES DE MADEIRA.FORNECIMENTO E COLOCACAO (OBS.:3% - DESGASTE DE FERRAMENTAS E EPI).</t>
  </si>
  <si>
    <t>ABRIGO DE PONTO DE ÔNIBUS, EM ESTRUTURA METÁLICA TUBULAR, COM FECHAMENTO NOS FUNDOS CHAPA PERFURADA, NAS LATERAIS COM VIDRO TEMPERADO E COBERTURA EM TELHAS TERMOACÚSTICAS, EXCLUSIVE BANCO. CONFORME PROJETO DA SMPu. FORNECIMENTO E ASSENTAMENTO.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</si>
  <si>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</si>
  <si>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</si>
  <si>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</si>
  <si>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CERCA PROTETORA DE BORDA DE VALA OU OBRA,COM TELA PLASTICA NA COR LARANJA OU AMARELA,CONSIDERANDO 2 VEZES DE UTILIZACAO, INCLUSIVE APOIOS,FORNECIMENTO,COLOCACAO E RETIRADA (OBS.:45%-MAO DE OBRA,APOIOS E PERDAS DE MATERIAL).</t>
  </si>
  <si>
    <t>07529</t>
  </si>
  <si>
    <t>TELA PLASTICA PARA SINALIZACAO DE OBRAS,EM BOBINAS DE (50X1,20)M</t>
  </si>
  <si>
    <t>20005</t>
  </si>
  <si>
    <t>MAO-DE-OBRA DE AJUDANTE DE MONTADOR ELETROMECANICO (ILUMINACAO PUBLICA), INCLUSIVE ENCARGOS SOCIAIS DESONERADOS</t>
  </si>
  <si>
    <t>DEMOLICAO COM EQUIPAMENTO DE AR COMPRIMIDO,DE PASSEIO CIMENTADO COM ESPESSURA ATE 10CM,INCLUSIVE EMPILHAMENTO LATERAL DE NTRO DO CANTEIRO DE SERVICO (OBS.:3%-DESGASTE DE FERRAMENTAS E EPI).</t>
  </si>
  <si>
    <t>20111</t>
  </si>
  <si>
    <t>MAO-DE-OBRA DE OPERADOR DE MAQUINA (TRATOR, ETC.), INCLUSIVE ENCARGOS SOCIAIS DESONERADOS</t>
  </si>
  <si>
    <t>30808</t>
  </si>
  <si>
    <t>19.011.0002-D COMPRESSOR AR 170PCM 40CV (CF)</t>
  </si>
  <si>
    <t>30807</t>
  </si>
  <si>
    <t>19.011.0002-C COMPRESSOR AR 170PCM 40CV (CP)</t>
  </si>
  <si>
    <t>30609</t>
  </si>
  <si>
    <t>19.005.0037-E ROMPEDOR PNEUMATICO DE 32,6KG DE PESO,EXCLUSIVE OPERADOR,PONTEIRA E MANGUEIRA,(CI)</t>
  </si>
  <si>
    <t>30608</t>
  </si>
  <si>
    <t>19.005.0037-C ROMPEDOR PNEUMATICO DE 32,6KG DE PESO,EXCLUSIVE OPERADOR,PONTEIRA E MANGUEIRA(CP)</t>
  </si>
  <si>
    <t>30085</t>
  </si>
  <si>
    <t>05.002.0003-B DEMOLICAO MASSAS CONCR., AR COMPRIM.</t>
  </si>
  <si>
    <t>10801</t>
  </si>
  <si>
    <t>CAVALETE MINICADE, EQUIPADO COM PAINEISREFLETIVOS, PADRAO ENGENHARIA E UM PISCA-ALERTA, ALUGUEL</t>
  </si>
  <si>
    <t>MES</t>
  </si>
  <si>
    <t>00159</t>
  </si>
  <si>
    <t>CHAPA DE MADEIRA COMPENSADA, RESINADA, COM ESPESSURA DE 06MM</t>
  </si>
  <si>
    <t>00125</t>
  </si>
  <si>
    <t>TINTA FUNDO SINTETICO NIVELADOR, PARA MADEIRA, INTERIORES E EXTERIORES</t>
  </si>
  <si>
    <t>GL</t>
  </si>
  <si>
    <t>20118</t>
  </si>
  <si>
    <t>MAO-DE-OBRA DE PINTOR, INCLUSIVE ENCARGOS SOCIAIS DESONERADOS</t>
  </si>
  <si>
    <t>05845</t>
  </si>
  <si>
    <t>ACO CA-50, ESTIRADO, PRECO DE REVENDEDOR, NO DIAMETRO DE 08,0MM</t>
  </si>
  <si>
    <t>05844</t>
  </si>
  <si>
    <t>ACO CA-50, ESTIRADO, PRECO DE REVENDEDOR, NO DIAMETRO DE 06,3MM</t>
  </si>
  <si>
    <t>00019</t>
  </si>
  <si>
    <t>ACO CA-50, ESTIRADO, PRECO DE REVENDEDOR, NO DIAMETRO DE 16,0MM</t>
  </si>
  <si>
    <t>00017</t>
  </si>
  <si>
    <t>ACO CA-50, ESTIRADO, PRECO DE REVENDEDOR, NO DIAMETRO DE 10,0MM</t>
  </si>
  <si>
    <t>00004</t>
  </si>
  <si>
    <t>ARAME RECOZIDO N§ 18</t>
  </si>
  <si>
    <t>30283</t>
  </si>
  <si>
    <t>11.004.0022-B FORMAS MADEIRA PARAM. PLANOS; 1,4 VEZES</t>
  </si>
  <si>
    <t>ATERRO COM MATERIAL DE 1¦CATEGORIA, COMPACTADO MANUALMENTE EM CAMADAS DE 20CM,ATE UMA ALTURA MAXIMA DE 80CM,PARA SUPORTE DE CAMADA DE CONCRETO, INCLUSIVE DOIS TIROS DE PA, ESPALHAMENTO E REGA, INCLUSIVE FORNECIMENTO DA TERRA COM D.M.T.=10KM (OBS.:3%-DESGASTE DE FERRAMENTAS E EPI).</t>
  </si>
  <si>
    <t>PERFURACAO MANUAL DE SOLO,A TRADO ATE 6" (OBS.:3% - DESGASTE DE FERRAMENTAS E EPI).</t>
  </si>
  <si>
    <t>REATERRO DE VALA/CAVA COM MATERIAL DE BOA QUALIDADE,UTILIZANDO VIBRO COMPACTADOR PORTATIL,EXCLUSIVE MATERIAL (OBS.:3%-DESGASTE DE FERRAMENTAS E EPI).</t>
  </si>
  <si>
    <t>10768</t>
  </si>
  <si>
    <t>BLOCO CONCRETO PRENSADO, DE (15X20X40)CM</t>
  </si>
  <si>
    <t>30167</t>
  </si>
  <si>
    <t>07.002.0045-B ARGAMASSA CIM.,AREIA TRACO 1:8,PREPAROMECANICO</t>
  </si>
  <si>
    <t>30350</t>
  </si>
  <si>
    <t>13.001.0010-B CHAPISCO SUPERF. CONCR./ALVEN.,COM ARGAMASSA DE CIMENTO E AREIA NO TRACO 1:3</t>
  </si>
  <si>
    <t>30162</t>
  </si>
  <si>
    <t>07.002.0020-B ARGAMASSA CIM.,AREIA TRACO 1:2,PREPAROMECANICO</t>
  </si>
  <si>
    <t>11196</t>
  </si>
  <si>
    <t>PISO TATIL OU BORRACHA DIRECIONAL, 25X25CM, ESP.5MM, NA COR PRETA, PARA PESSOASDE NECESSIDADES ESPECIAIS</t>
  </si>
  <si>
    <t>00135</t>
  </si>
  <si>
    <t>COLA PARA PISOS DE BORRACHA</t>
  </si>
  <si>
    <t>20087</t>
  </si>
  <si>
    <t>MAO-DE-OBRA DE LADRILHEIRO, INCLUSIVE ENCARGOS SOCIAIS DESONERADOS</t>
  </si>
  <si>
    <t>11197</t>
  </si>
  <si>
    <t>PISO TATIL BORRACHA ALERTA, 25X25CM, ESPESSURA DE 5MM, NA COR PRETA, PARA PESSOAS DE NECESSIDADES ESPECIAIS</t>
  </si>
  <si>
    <t>CERCA DE VEDACAO ESTRUTURADA EM PECAS DE MADEIRA DE 3"X3",FORMANDO QUADROS DE 2,00X2,00M,COM TRAVESSA INFERIOR A 12,5CM DO SOLO,REVESTIDOS COM TELA GALVANIZADA DE ARAME N§12,COM MALHA LOSANGO DE 8X8CM,SENDO O MADEIRAMENTO PINTADO COM DUAS D EMAOS DE IMUNIZANTE FUNGICIDA A BASE DE OLEO DE CREOSOTO,ANTES DA COLOCACAO.FORNECIMENTO E COLOCACAO (OBS.:3%-DESGASTE DE FERRAMENTAS E EPI).</t>
  </si>
  <si>
    <t>05437</t>
  </si>
  <si>
    <t>IMUNIZANTE ANTICUPIM INCOLOR PARA MADEIRA EM GALAO DE 3,6 LITROS</t>
  </si>
  <si>
    <t>00190</t>
  </si>
  <si>
    <t>TELA DE ARAME GALVANIZADO FIO N§ 12, MALHA LOSANGO, DE (8X8)CM</t>
  </si>
  <si>
    <t>MADEIRA DE REFLORESTAMENTO,AUTOCLAVADA,EM TORA,ATE 6,00M DE COMPRIMENTO,DIAMETRO DE 25CM.FORNECIMENTO</t>
  </si>
  <si>
    <t>00435</t>
  </si>
  <si>
    <t>EUCALIPTO AUTOCLAVADO,EM TORA,COM 6,00MDE COMPRIMENTO E DIAMETRO APROXIMADO DE25CM</t>
  </si>
  <si>
    <t>FORNECIMENTO E ASSENTO DE BANCO, COM 2 PEÇAS DE 2,00M DE COMPRIMENTO DE MADEIRA DE REFLORESTAMENTO AUTOCLAVADA DE 22X16CM, FIXADO EM ESTRUTURA DE FERRRO COM 6 PARAFUSOS , ROSCA SOBERBA, CABECACHATA, DE 5,5MMX2.1/2"</t>
  </si>
  <si>
    <t>09.013.0016-A</t>
  </si>
  <si>
    <t>BANCO DE JARDIM,MEDINDO 1,80X0,30X0,45M,EXECUTADO COM 01(UMA)PECA MACARANDUBA DE 30X7CM,FIXADA EM 02(DOIS) APOIOS DE CON CRETO,CONFORME DETALHE N§6028/EMOP.FORNECIMENTO E COLOCACAO (OBS.:3%-DESGASTE DE FERRAMENTAS E EPI).</t>
  </si>
  <si>
    <t>05936</t>
  </si>
  <si>
    <t>MACARANDUBA EM PECAS, DE 7,50X22,50CM (3"X9")</t>
  </si>
  <si>
    <t>02603</t>
  </si>
  <si>
    <t>MACARANDUBA EM PECAS, DE 7,50X11,25CM (3"X4.1/2")</t>
  </si>
  <si>
    <t>PARAFUSO DE LATAO, ROSCA SOBERBA, CABECACHATA, DE 5,5MMX2.1/2"</t>
  </si>
  <si>
    <t>00349</t>
  </si>
  <si>
    <t>PINUS, EM PECAS DE 2,50X30,00CM (1"X12")</t>
  </si>
  <si>
    <t>00029</t>
  </si>
  <si>
    <t>ACO CA-25, ESTIRADO, PRECO DE REVENDEDOR, NO DIAMETRO DE 06,3MM</t>
  </si>
  <si>
    <t>30260</t>
  </si>
  <si>
    <t>11.002.0023-B LANCAMENTO CONC.C/ARM.2,0M3/H,HORIZ/VERT</t>
  </si>
  <si>
    <t>30254</t>
  </si>
  <si>
    <t>11.002.0013-B PREPARO CONCR. BETON. 320L; 2,0M3/H</t>
  </si>
  <si>
    <t>30246</t>
  </si>
  <si>
    <t>11.001.0005-B CONCRETO FCK 15MPA</t>
  </si>
  <si>
    <t>CORTE COM MACARICO MANUAL DE OXIACETILENO,EM CHAPA DE ACO NA ESPESSURA DE 1/2" (OBS.:3%-DESGASTE DE FERRAMENTAS E EPI).</t>
  </si>
  <si>
    <t>SOLDA DE TOPO,DESCENDENTE,EM CHAPA DE ACO CHANFRADA A 30ø,DE 1/2" DE ESPESSURA,UTILIZANDO CONVERSOR ELETROMOTORIZADO,E A DMITINDO UM TEMPO PRODUTIVO DE 75% (OBS.:3%-DESGASTE DE FERRAMENTAS E EPI).</t>
  </si>
  <si>
    <t>PERFURACAO MANUAL DE SOLO,A TRADO ATE 10" (OBS.:3% - DESGASTE DE FERRAMENTAS E EPI).</t>
  </si>
  <si>
    <t>CONCRETO CICLOPICO CONFECCIONADO COM CONCRETO DOSADO PARA UMA RESISTENCIA CARACTERISTICA A COMPRESSAO DE 10MPA,TENDO 30% DO VOLUME REAL OCUPADO POR PEDRA-DE-MAO,INCLUSIVE MATERIAIS,TRANSPORTE,PREPARO,LANCAMENTO E ADENSAMENTO (OBS.:3%-DESGASTE DE FERRAMENTAS E EPI).</t>
  </si>
  <si>
    <t>CAIXA HAND-HOLE,PRE-MOLDADA,EM ANEL DE CONCRETO,CONFORME PROJETO N§ A4-1683-PD,RIOLUZ,COM DIMENSOES DE 0,30X0,30M,EXCLUS IVE ESCAVACAO,REATERRO E TAMPAO.FORNECIMENTO E ASSENTAMENTO (OBS.:3%-DESGASTE DE FERRAMENTAS E EPI).</t>
  </si>
  <si>
    <t>11624</t>
  </si>
  <si>
    <t>ANEL DE CONCRETO ARMADO PRE-MOLDADO (30X30X5)CM, PARA CAIXA DE INSPECAO</t>
  </si>
  <si>
    <t>02564</t>
  </si>
  <si>
    <t>TUBO DE PVC RIGIDO ROSQUEAVEL, EM BARRASDE 6,00M, ROSCA EM AMBAS AS EXTREMIDADES, DE 1"</t>
  </si>
  <si>
    <t>00009</t>
  </si>
  <si>
    <t>BARRA CHATA EM FERRO, PRECO DE REVENDEDOR, DE 1/2"X1/8" A 1.1/4"X1.1/4"</t>
  </si>
  <si>
    <t>14343</t>
  </si>
  <si>
    <t>KIT VEDACAO,COMP.DUAS FITAS MASTIQUE E FILME PVC TRANSP.P/VEDACAO DAS CONEXOES DOS DUTOS CORRUGADOS,DIAM.NOM.DN=1 1/4"</t>
  </si>
  <si>
    <t>14340</t>
  </si>
  <si>
    <t>CONEXAO I,SECAO CIRC.ROSQ.CORRUG.HELICOIDAL,COR PRETA,POLIET.ALTA DENS.P/UNIAO DUTOS P/PROT.COND.ELET.DN=1 1/4"</t>
  </si>
  <si>
    <t>14322</t>
  </si>
  <si>
    <t>DUTO ANELAR FLEXIVEL,CINZA CONCRETO,POLIETILENO,P/PROTECAO DE CONDUTORES ELETRICOS,DN=1.1/4",DI=31,5MM,INCL. 2 PLUGS</t>
  </si>
  <si>
    <t>02344</t>
  </si>
  <si>
    <t>ELETRODUTO DE PVC PRETO, RIGIDO ROSQUEAVEL, COM ROSCA EM AMBAS EXTREMIDADES, EMBARRAS DE 3 METROS, DE 1.1/4"</t>
  </si>
  <si>
    <t>20060</t>
  </si>
  <si>
    <t>MAO-DE-OBRA DE ELETRICISTA DA CONSTRUCAOCIVIL, INCLUSIVE ENCARGOS SOCIAIS DESONERADOS</t>
  </si>
  <si>
    <t>11876</t>
  </si>
  <si>
    <t>CABO DE COBRE SOLIDA EXTRUDADA, COM BAIXA EMISSAO DE FUMACA, BIPOLAR, 2X4MM2, ISOLAMENTO 0,6/1KV</t>
  </si>
  <si>
    <t>LUMINÁRIA DECORATIVA FECHADA, PARA ILUMINAÇÃO DE PRAÇAS, CORPO REDONDA, FOCO DIRECIONAL PARA BAIXO, LENTES PPMA, COM 3 MODULOS DE 30W DE 18 LED'S CADA, EQUIVALENCIA TOTAL A HDI DE 250W,  INCLUSIVE POSTE DE AÇO DE 4,50M DE ALTURA, COM JANELA DE INSPEÇÃO E ASSENTADO DIRETAMENTE NO SOLO A 0,50M DE PROFUNDIDADE. FORNECIMENTO E ASSENTAMENTO.</t>
  </si>
  <si>
    <t>21.003.0054-A</t>
  </si>
  <si>
    <t>POSTE DE ACO,RETO,CONICO CONTINUO,ALTURA DE 4,50M,SEM SAPATA ESPECIFICACAO EM-CME-04 DA RIOLUZ.FORNECIMENTO</t>
  </si>
  <si>
    <t>18.027.0089-5</t>
  </si>
  <si>
    <t>LUMINÁRIA DECORATIVA FECHADA, PARA ILUMINAÇÃO DE PRAÇAS, CORPO REDONDA, FOCO DIRECIONAL PARA BAIXO, LENTES PPMA, COM 3 MODULOS DE 30W DE 18 LED'S CADA, EQUIVALENCIA TOTAL A HDI DE 250W</t>
  </si>
  <si>
    <t>21.035.0014-A</t>
  </si>
  <si>
    <t>30245</t>
  </si>
  <si>
    <t>11.001.0001-B CONCRETO FCK 10MPA</t>
  </si>
  <si>
    <t>00717</t>
  </si>
  <si>
    <t>TERRA PRETA SIMPLES</t>
  </si>
  <si>
    <t>20133</t>
  </si>
  <si>
    <t>MAO-DE-OBRA DE SERVENTE PARA SERVICOS DECONSERVACAO, INCLUSIVE ENCARGOS SOCIAISDESONERADOS</t>
  </si>
  <si>
    <t>10866</t>
  </si>
  <si>
    <t>PLANTA ESP.VEG.C/ALT.(0,60 A 1,50)M,TIPOCALLIANDRA TWEEDII (ESPONJINHA VERMELHA)</t>
  </si>
  <si>
    <t>10895</t>
  </si>
  <si>
    <t>PLANTIO DE PLANTAS DE COBERTURA</t>
  </si>
  <si>
    <t>10875</t>
  </si>
  <si>
    <t>PLANTA ESP.VEG.C/ALT.(0,10 A 0,40)M, TIPO JASMINUM NITIDUM (JASMIM ESTRELA)</t>
  </si>
  <si>
    <t>PERFURACAO MANUAL DE SOLO,A TRADO ACIMA DE 10" (OBS.:3% - DESGASTE DE FERRAMENTAS E EPI).</t>
  </si>
  <si>
    <t>14543</t>
  </si>
  <si>
    <t>PEDRA BRITADA 1 E 2 (MEDIA), PARA REGIAOMETROPOLITANA DO RIO DE JANEIRO</t>
  </si>
  <si>
    <t>30714</t>
  </si>
  <si>
    <t>19.007.0006-C BETONEIRA DIESEL 600L, MISTURA SECA (CP)</t>
  </si>
  <si>
    <t>06211</t>
  </si>
  <si>
    <t>ACO CA-50, ESTIRADO, PRECO DE FABRICA, NO DIAMETRO DE 06,3MM</t>
  </si>
  <si>
    <t>06214</t>
  </si>
  <si>
    <t>ACO CA-50, ESTIRADO, PRECO DE FABRICA, NO DIAMETRO DE 12,5MM</t>
  </si>
  <si>
    <t>06213</t>
  </si>
  <si>
    <t>ACO CA-50, ESTIRADO, PRECO DE FABRICA, NO DIAMETRO DE 10,0MM</t>
  </si>
  <si>
    <t>06212</t>
  </si>
  <si>
    <t>ACO CA-50, ESTIRADO, PRECO DE FABRICA, NO DIAMETRO DE 08,0MM</t>
  </si>
  <si>
    <t>CHAPA DE ACO CARBONO,ESPESSURA DE 3/8",PARA USO GERAL.FORNECIMENTO =18,62+3,58</t>
  </si>
  <si>
    <t>TUBO DE FERRO FUNDIDO, CENTRIFUGADO, PONTA/PONTA, DN 150MM, LINHA SMU, COMPRIMENTO DE 3,00, EXCLUSIVE JUNTA =2,5/3*4</t>
  </si>
  <si>
    <t>TUBO DE FERRO FUNDIDO, CENTRIFUGADO, PONTA/PONTA, DN 100MM, LINHA SMU, COMPRIMENTO DE 3,00M, EXCLUSIVE JUNTA =3,3/3*2</t>
  </si>
  <si>
    <t>PERFIL UDC DOBRADO DE 6"X2"X2.65mm - PÇ 3M =(2,7*2+3)/3</t>
  </si>
  <si>
    <t>TUBO RETANGULAR - 120X60X3MM - PÇ 6M =(0,9*2+0,33)/6</t>
  </si>
  <si>
    <t>TUBO QUADRADO 60X60X1,5MM - PÇ 6M =(0,9+2,08+2)/6</t>
  </si>
  <si>
    <t>CANTONEIRA ACO, COM ABAS IGUAIS, 3/4"X 1/8" =0,87*(3+1,4)*2</t>
  </si>
  <si>
    <t>PINTURA ELETROSTATICA SOBRE ESQUADRIA DE FERRO =3*1,55*2/4</t>
  </si>
  <si>
    <t>CHAPA DE ACO CARBONO SAE 1006/10 PERFURADA EM FUROS REDONDOS ALTERNADOS LONGITUDINALMENTE,DIAMETRO DE 1,80MM,DISTANCIA E NTRE FUROS DE 2,55MM (DE CENTRO),NAS DIMENSOES DE(2000X1000X0,90)MM.FORNECIMENTO =(1,4*3)/2</t>
  </si>
  <si>
    <t>COBERTURA TERMO-ISOLANTE,DUPLA,TRAPEZOIDAL,ALUMINIO 0,43MM,P/USO ONDE SE REQUER CONFORTO TERMICO,DUPLA ESTANQUEIDADE LAT ERAL,S/PINTURA,RECHEIO DE POLIESTIRENO EXPANDIDO(EPS ALTURA=40MM)C/RETARDANTE A CHAMA E DENSIDADE NBR-11.752 DA ABNT,LAR GURA UTIL DE 0,99M,COMPRIMENTO ATE 12,00M,INCL.ACESSORIOS P/FIXACAO,ALTURA TOTAL 78,8MM.FORNECIMENTO E COLOCACAO (OBS.:3%-DESGASTE DE FERRAMENTAS E EPI). =3*2,7</t>
  </si>
  <si>
    <t>CALHA DE PLATIBANDA OU DE RINCAO,EM CHAPA GALVANIZADA Nø26, COM 25CM DE DESENVOLVIMENTO.FORNECIMENTO E COLOCACAO (OBS.:3%-DESGASTE DE FERRAMENTAS E EPI). =3</t>
  </si>
  <si>
    <t>PINTURA ELETROSTATICA SOBRE ESQUADRIA DE FERRO =3*2,7*2/4</t>
  </si>
  <si>
    <t>SI00000072119</t>
  </si>
  <si>
    <t>SI00000098746</t>
  </si>
  <si>
    <t>SI0073865/001</t>
  </si>
  <si>
    <t>SI0073924/002</t>
  </si>
  <si>
    <t>TUBO RETANGULAR DE METALON - 120X60X3MM - PÇ 6M =(0,4*2+3*2)/6</t>
  </si>
  <si>
    <t>SOLDA DE TOPO EM CHAPA/PERFIL/TUBO DE AÇO CHANFRADO, ESPESSURA=1/4''. AF_06/2018 =(0,15+0,05*2)*4</t>
  </si>
  <si>
    <t>CEDRO EM TABUAS, PRANCHETAS E PRANCHOES,PARA ESQUADRIAS =3*0,4*0,04</t>
  </si>
  <si>
    <t>ENVERNIZAMENTO DE MADEIRA COM VERNIZ TIPO COPAL BRILHANTE PARA INTERIOR,INCLUSIVE LIXAMENTO,UMA DEMAO DE VERNIZ IMUNIZAN TE E IMPERMEABILIZANTE INCOLOR,ANILINA E UMA DEMAO DE ACABAMENTO (OBS.:3%-DESGASTE DE FERRAMENTAS E EPI). =3*(0,4*2+0,04*2)</t>
  </si>
  <si>
    <t>FUNDO PREPARADOR PRIMER A BASE DE EPOXI, PARA ESTRUTURA METALICA, UMA DEMAO, ESPESSURA DE 25 MICRA. =(0,4*2+3*2)*(0,15*2+0,05*2)</t>
  </si>
  <si>
    <t>PINTURA ESMALTE ACETINADO, DUAS DEMAOS, SOBRE SUPERFICIE METALICA =(0,4*2+3*2)*(0,15*2+0,05*2)</t>
  </si>
  <si>
    <t xml:space="preserve">Itens do Projeto Básico:
Do Planejamento e horário
– O horário de trabalho normal admitido será entre 06h00min e 16h30min de segunda-feira a domingo. 
OBS.: Os serviços não poderão iniciar ou ultrapassar os horários definidos para não agravar o engarrafamento do “horários-de-rush”. Os dias semanais serão definidos conforme a necessidade do cronograma.
– A execução das obras deverá ser feita em TRÊS etapas e consecutivamente, sendo a 1a. na área de convivência (após os abrigos existente) e instalação de 2 abrigos novos; a 2a. na área dos abrigos existentes e instalação de 5 abrigos e a 3a. na área de calçada anterior aos abrigos existente e instalação da grade e jardineira após a mureta. 
OBS.: Em cada etapa deverá ser instalado o tapume da obra e o corredor de pedestre e acesso aos ônibus.
– A Prefeitura Municipal de Barra Mansa juntamente com a Contratada comporá a Metodologia de Execução dos Serviços, as quais poderão ajustadas diariamente conforme a necessidade do cronograma.
</t>
  </si>
  <si>
    <t>BASE EMOP-RJ 10/19 - SINAPI 09/19</t>
  </si>
  <si>
    <t>DESEMBOLSO ACUMULADO - %</t>
  </si>
  <si>
    <t>TOTAL ACUMULADO -  R$</t>
  </si>
  <si>
    <t>DESEMBOLSO PARCIAL POR MEDIÇÃO - %</t>
  </si>
  <si>
    <t>TOTAL POR MEDIÇÃO -  R$</t>
  </si>
  <si>
    <t>BENEFÍCIOS E DESPESAS INDIRETAS</t>
  </si>
  <si>
    <t>R$</t>
  </si>
  <si>
    <t>SERVIÇO</t>
  </si>
  <si>
    <t>CRONOGRAMA FÍSICO FINANCEIRO</t>
  </si>
  <si>
    <t>1 mês</t>
  </si>
  <si>
    <t>2 mês</t>
  </si>
  <si>
    <t>08.027.0042-A</t>
  </si>
  <si>
    <t>30280</t>
  </si>
  <si>
    <t>11.004.0001-B FORMAS MADEIRA, PINUS, 20 VEZES</t>
  </si>
  <si>
    <t>30269</t>
  </si>
  <si>
    <t>11.002.0034-B LANCAMENTO CONC.S/ARM.3,5M3/H, HORIZ.</t>
  </si>
  <si>
    <t>30253</t>
  </si>
  <si>
    <t>11.002.0012-B PREPARO CONCR. BETON. 600L; 3,5 M3/H</t>
  </si>
  <si>
    <t>PLACA DE IDENTIFICACAO DE OBRA PUBLICA, IPO BANNER/PLOTTER</t>
  </si>
  <si>
    <t>2,88= 2,88 m²</t>
  </si>
  <si>
    <t xml:space="preserve">TAPUME DE VEDACAO OU PROTECAO, 2,00M DE ALTURA, EXECUTADO </t>
  </si>
  <si>
    <t>276,00= 276,00 m²</t>
  </si>
  <si>
    <t>CERCA PROTETORA DE BORDA DE VALA OU OBRA, COM TELA PLASTIC</t>
  </si>
  <si>
    <t>190,20= 190,20 m²</t>
  </si>
  <si>
    <t>RETIRADA DE POSTE DE CONCRETO OU ACO,DE 3,50 A 9,00M (OBS.</t>
  </si>
  <si>
    <t>3= 3,00 Un</t>
  </si>
  <si>
    <t>3,00= 3,00 Un</t>
  </si>
  <si>
    <t>DEMOLICAO COM EQUIPAMENTO DE AR COMPRIMIDO,DE PASSEIO CIME</t>
  </si>
  <si>
    <t>366,48= 366,48 m²</t>
  </si>
  <si>
    <t>LEVANTAMENTO E REASSENTAMENTO DE MEIO-FIO (OBS.:3%-DESGAST</t>
  </si>
  <si>
    <t>17,15+12,45+30,05= 72,75 m</t>
  </si>
  <si>
    <t>72,75= 72,75 m</t>
  </si>
  <si>
    <t>ARRANCAMENTO DE MEIOS-FIOS,DE GRANITO OU CONCRETO,RETOS OU</t>
  </si>
  <si>
    <t>3,7+6,15+2,75+2+2,5+1,75+4,1= 9,85 m</t>
  </si>
  <si>
    <t>9,85= 9,85 m</t>
  </si>
  <si>
    <t>DEMOLICAO,COM EQUIPAMENTO DE AR COMPRIMIDO,DE MASSAS DE CO</t>
  </si>
  <si>
    <t>0,40= 0,40 m³</t>
  </si>
  <si>
    <t>REMOÇÃO, UTILIZANDO GUINDAUTO, DE ESTRUTURA DE CONCRETO PR</t>
  </si>
  <si>
    <t>5= 5,00 Un</t>
  </si>
  <si>
    <t>5,00= 5,00 Un</t>
  </si>
  <si>
    <t>CARGA MANUAL E DESCARGA MECANICA DE MATERIAL A GRANEL(AGRE</t>
  </si>
  <si>
    <t>0,79+0,96+46,43+33,16= 81,34 t</t>
  </si>
  <si>
    <t>TRANSPORTE DE CARGA DE QUALQUER NATUREZA,EXCLUSIVE AS DESP</t>
  </si>
  <si>
    <t>1.145,00+246,00= 1.391,00 TxKm</t>
  </si>
  <si>
    <t>CAVALETE MINICADE (ALUGUEL),EQUIPADO COM PAINEIS REFLETIVO</t>
  </si>
  <si>
    <t>10,00= 10,00 Un x mês</t>
  </si>
  <si>
    <t>PLACA DE SINALIZACAO PREVENTIVA PARA OBRA NA VIA PUBLICA,D</t>
  </si>
  <si>
    <t>6= 6,00 Un</t>
  </si>
  <si>
    <t>6,00= 6,00 Un</t>
  </si>
  <si>
    <t xml:space="preserve">CONCRETO ARMADO,FCK=20MPA,INCLUINDO MATERIAIS PARA 1,00M3 </t>
  </si>
  <si>
    <t>0,34+1,27= 1,60 m³</t>
  </si>
  <si>
    <t xml:space="preserve">RECOMPOSIÇÃO DE CAMADA DE CAPEAMENTO DE CINTA DE CONCRETO </t>
  </si>
  <si>
    <t>2,06+8,48= 10,54 m²</t>
  </si>
  <si>
    <t>MEIO-FIO RETO DE CONCRETO SIMPLES FCK=15MPA,PRE-MOLDADO,TI</t>
  </si>
  <si>
    <t>10= 10,00 m</t>
  </si>
  <si>
    <t>10,00= 10,00 m</t>
  </si>
  <si>
    <t>ATERRO COM MATERIAL DE 1¦CATEGORIA, COMPACTADO MANUALMENTE</t>
  </si>
  <si>
    <t>2,71+13,09= 15,79 m³</t>
  </si>
  <si>
    <t>ESCAVACAO MANUAL EM MATERIAL DE 1¦CATEGORIA,A CEU ABERTO,A</t>
  </si>
  <si>
    <t>2,35= 2,34 m³</t>
  </si>
  <si>
    <t>PERFURACAO MANUAL DE SOLO,A TRADO ATE 6" (OBS.:3% - DESGAS</t>
  </si>
  <si>
    <t>12,00= 12,00 m</t>
  </si>
  <si>
    <t>0,54+0,13+0,21= 0,87 m³</t>
  </si>
  <si>
    <t>REATERRO DE VALA/CAVA COM MATERIAL DE BOA QUALIDADE,UTILIZ</t>
  </si>
  <si>
    <t>1,81= 1,80 m³</t>
  </si>
  <si>
    <t>ALVENARIA DE BLOCOS DE CONCRETO 15X20X40CM,ASSENTES COM AR</t>
  </si>
  <si>
    <t>11,88= 11,88 m²</t>
  </si>
  <si>
    <t>EMBOCO COM ARGAMASSA DE CIMENTO E AREIA,NO TRACO 1:2 COM 1</t>
  </si>
  <si>
    <t>106,13= 106,13 m²</t>
  </si>
  <si>
    <t xml:space="preserve">REVESTIMENTO DE PAREDES OU MUROS COM FILETES DERIVADOS DE </t>
  </si>
  <si>
    <t>96,46= 96,46 m²</t>
  </si>
  <si>
    <t>PAVIMENTACAO LAJOTAS CONCRETO, JUNTAS RETA (SEM ANGULO ENT</t>
  </si>
  <si>
    <t>316,91= 316,91 m²</t>
  </si>
  <si>
    <t>PISO TATIL DE BORRACHA,DIRECIONAL,PARA PESSOAS COM NECESSI</t>
  </si>
  <si>
    <t>11,49= 11,49 m²</t>
  </si>
  <si>
    <t>PISO TATIL DE BORRACHA,ALERTA,PARA PESSOAS COM NECESSIDADE</t>
  </si>
  <si>
    <t>65,79= 65,79 m²</t>
  </si>
  <si>
    <t xml:space="preserve">PISO DE CONCRETO ARMADO MONOLITICO, C/JUNTA FRIA, ALISADO </t>
  </si>
  <si>
    <t>51,54= 51,54 m²</t>
  </si>
  <si>
    <t>CERCA DE VEDACAO ESTRUTURADA EM PECAS DE MADEIRA DE 3"X3",</t>
  </si>
  <si>
    <t>181,5= 181,50 m²</t>
  </si>
  <si>
    <t>181,50= 181,50 m²</t>
  </si>
  <si>
    <t>FORNECIMENTO E ASSENTO DE BANCO, COM 2 PEÇAS DE 2,00M DE C</t>
  </si>
  <si>
    <t xml:space="preserve">SUPORTE PARA BANCO DE MADEIRA (PÉS) EM BARRA CHATA DE 4"X </t>
  </si>
  <si>
    <t>15,00= 15,00 Un</t>
  </si>
  <si>
    <t>CAIXA HAND-HOLE,PRE-MOLDADA,EM ANEL DE CONCRETO,CONFORME P</t>
  </si>
  <si>
    <t>2= 2,00 Un</t>
  </si>
  <si>
    <t>2,00= 2,00 Un</t>
  </si>
  <si>
    <t>DUTO ANELAR FLEXIVEL,NA COR CINZA CONCRETO,SINGELO,DE POLI</t>
  </si>
  <si>
    <t>15+62+23= 100,00 m</t>
  </si>
  <si>
    <t>100,00= 100,00 m</t>
  </si>
  <si>
    <t>ELETRODUTO DE PVC RIGIDO ROSQUEAVEL DE 1.1/4",INCLUSIVE CO</t>
  </si>
  <si>
    <t>5= 5,00 m</t>
  </si>
  <si>
    <t>5,00= 5,00 m</t>
  </si>
  <si>
    <t>CABO DE COBRE COM ISOLACAO SOLIDA EXTRUDADA,COM BAIXA EMIS</t>
  </si>
  <si>
    <t>241,00= 241,00 m</t>
  </si>
  <si>
    <t>LUMINARIA FECHADA,PARA ILUMINACAO DE PRACAS,RUAS ESTACIONA</t>
  </si>
  <si>
    <t>11= 11,00 Un</t>
  </si>
  <si>
    <t>11,00= 11,00 Un</t>
  </si>
  <si>
    <t>ENCHIMENTO DE CAVAS,SENDO UM TERCO COM TERRA PRETA VEGETAL</t>
  </si>
  <si>
    <t>8,42+0,51= 8,93 m³</t>
  </si>
  <si>
    <t>8,93= 8,93 m³</t>
  </si>
  <si>
    <t>ESPECIES VEGETAIS COM ALTURA DE(0,60 A 1,50)M,TIPO CALLIAN</t>
  </si>
  <si>
    <t>PLANTIO DE PLANTAS DE COBERTURA VEGETAL,CONSIDERANDO 4 MUD</t>
  </si>
  <si>
    <t>15= 15,00 Un</t>
  </si>
  <si>
    <t>20= 20,00 Un</t>
  </si>
  <si>
    <t>20,00= 20,00 Un</t>
  </si>
  <si>
    <t xml:space="preserve">PERFURACAO MANUAL DE SOLO,A TRADO ACIMA DE 10" (OBS.:3% - </t>
  </si>
  <si>
    <t>42= 42,00 m</t>
  </si>
  <si>
    <t>42,00= 42,00 m</t>
  </si>
  <si>
    <t>42,00= 42,00 m³</t>
  </si>
  <si>
    <t>ESCAVACAO MANUAL EM MATERIAL DE 1¦CATEGORIA,A CEU ABERTO,P</t>
  </si>
  <si>
    <t>2,19= 2,19 m³</t>
  </si>
  <si>
    <t>COMPACTACAO DE ATERRO,EM CAMADAS DE 15CM,COM MACO (OBS.:3%</t>
  </si>
  <si>
    <t>6,6= 6,60 m³</t>
  </si>
  <si>
    <t>6,60= 6,60 m³</t>
  </si>
  <si>
    <t>CONCRETO DOSADO RACIONALMENTE PARA UMA RESISTENCIA CARACTE</t>
  </si>
  <si>
    <t>0,5= 0,50 m³</t>
  </si>
  <si>
    <t>0,50= 0,50 m³</t>
  </si>
  <si>
    <t>9,02= 9,02 m³</t>
  </si>
  <si>
    <t>PREPARO DE CONCRETO,COMPREENDENDO MISTURA E AMASSAMENTO EM</t>
  </si>
  <si>
    <t>LANCAMENTO DE CONCRETO EM PECAS SEM ARMADURA,INCLUSIVE O T</t>
  </si>
  <si>
    <t>9,52= 9,52 m³</t>
  </si>
  <si>
    <t>BARRA DE ACO CA-50,COM SALIENCIA OU MOSSA,COEFICIENTE DE C</t>
  </si>
  <si>
    <t>CORTE,DOBRAGEM,MONTAGEM E COLOCACAO DE FERRAGENS NAS FORMA</t>
  </si>
  <si>
    <t>87,22= 87,22 kg</t>
  </si>
  <si>
    <t>474,32= 474,32 kg</t>
  </si>
  <si>
    <t>CHUMBADOR EM AÇO CA-50, DIÂM. 12.5MM, COM 0,60M DE COMPRIM</t>
  </si>
  <si>
    <t>112,00= 112,00 Un</t>
  </si>
  <si>
    <t xml:space="preserve">ABRIGO DE PONTO DE ÔNIBUS, EM ESTRUTURA METÁLICA TUBULAR, </t>
  </si>
  <si>
    <t>1= 1,00 Un</t>
  </si>
  <si>
    <t>1,00= 1,00 Un</t>
  </si>
  <si>
    <t>2,4x1,2= 2,88 m²</t>
  </si>
  <si>
    <t>(129+ 5+4)x2= 276,00 m²</t>
  </si>
  <si>
    <t>158,5x1,2= 190,20 m²</t>
  </si>
  <si>
    <t>4,45x0,2x(0,3+0,6)/2= 0,40 m³</t>
  </si>
  <si>
    <t>9,85x0,08= 0,79 t</t>
  </si>
  <si>
    <t>0,4x2,4= 0,96 t</t>
  </si>
  <si>
    <t>368,48x0,06x2,1= 46,43 t</t>
  </si>
  <si>
    <t>368,48x0,05x1,8= 33,16 t</t>
  </si>
  <si>
    <t>114,5x10= 1.145,00 TxKm</t>
  </si>
  <si>
    <t>(2,2+2+2,8+0,4+0,8)x0,08x3x5x2,5x10= 246,00 TxKm</t>
  </si>
  <si>
    <t>5x2= 10,00 Un x mês</t>
  </si>
  <si>
    <t>3,75x0,2x(0,3+0,6)/2= 0,34 m³</t>
  </si>
  <si>
    <t>(6,15+4,45)x0,2x0,6= 1,27 m³</t>
  </si>
  <si>
    <t>3,75x(0,2+(0,2+0,5)/2)= 2,06 m²</t>
  </si>
  <si>
    <t>(6,15+4,45)x(0,3+0,5)= 8,48 m²</t>
  </si>
  <si>
    <t>3,75x(5,03+4,62)/2x(0,1+0,4)/2= 2,71 m³</t>
  </si>
  <si>
    <t>(6,15+4,45)x0,2x0,6= 13,09 m³</t>
  </si>
  <si>
    <t>(1,43+15,9+1,03-0,3)x(0,15+0,5)x0,2= 2,35 m³</t>
  </si>
  <si>
    <t>(6+2)x1,5= 12,00 m</t>
  </si>
  <si>
    <t>(1,43+15,9+1,03-0,3)x0,15x0,2= 0,54 m³</t>
  </si>
  <si>
    <t>(6+2)x0,15x0,15x0,7= 0,13 m³</t>
  </si>
  <si>
    <t>(6+2)x1,5xPI()x0,075^2= 0,21 m³</t>
  </si>
  <si>
    <t>(1,43+15,9+1,03-0,3)x0,5x0,2= 1,81 m³</t>
  </si>
  <si>
    <t>5x3= 15,00 Un</t>
  </si>
  <si>
    <t>8x3+15+62x2+23+11x5= 241,00 m</t>
  </si>
  <si>
    <t>13,15x(0,5/0,6)= 42,00 m³</t>
  </si>
  <si>
    <t>13,15x(0,1/0,6)= 2,19 m³</t>
  </si>
  <si>
    <t>1,23x28+3,77x14= 87,22 kg</t>
  </si>
  <si>
    <t>(12,95+7,98)x14x2= 474,32 kg</t>
  </si>
  <si>
    <t>16x7= 112,00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</si>
</sst>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/mm/yy\ h:mm:ss"/>
    <numFmt numFmtId="167" formatCode="#,##0.000000"/>
    <numFmt numFmtId="168" formatCode="_([$€]* #,##0.00_);_([$€]* \(#,##0.00\);_([$€]* &quot;-&quot;??_);_(@_)"/>
    <numFmt numFmtId="169" formatCode="#,#00"/>
    <numFmt numFmtId="170" formatCode="General\ "/>
    <numFmt numFmtId="171" formatCode="%#,#00"/>
    <numFmt numFmtId="172" formatCode="#.#####"/>
    <numFmt numFmtId="173" formatCode="&quot;R$&quot;\ #,##0.00"/>
    <numFmt numFmtId="174" formatCode="#,"/>
    <numFmt numFmtId="175" formatCode="#,##0.00\ ;&quot; (&quot;#,##0.00\);&quot; -&quot;#\ ;@\ "/>
    <numFmt numFmtId="176" formatCode="#,##0.0000"/>
    <numFmt numFmtId="177" formatCode="#,##0.000"/>
  </numFmts>
  <fonts count="4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name val="Arial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rgb="FF222222"/>
      <name val="Calibri"/>
      <family val="2"/>
    </font>
    <font>
      <u/>
      <sz val="12"/>
      <color indexed="63"/>
      <name val="Calibri"/>
      <family val="2"/>
    </font>
    <font>
      <sz val="12"/>
      <color indexed="63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z val="1"/>
      <color indexed="8"/>
      <name val="Courier New"/>
      <family val="3"/>
    </font>
    <font>
      <sz val="12"/>
      <name val="Courier New"/>
      <family val="3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"/>
      <color indexed="8"/>
      <name val="Courier New"/>
      <family val="3"/>
    </font>
    <font>
      <b/>
      <sz val="22"/>
      <name val="Aharoni"/>
      <charset val="177"/>
    </font>
    <font>
      <b/>
      <sz val="16"/>
      <name val="Aharoni"/>
      <charset val="177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BankGothic Md BT"/>
      <family val="2"/>
    </font>
    <font>
      <b/>
      <sz val="14"/>
      <name val="Arial Black"/>
      <family val="2"/>
    </font>
    <font>
      <b/>
      <sz val="20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>
      <protection locked="0"/>
    </xf>
    <xf numFmtId="168" fontId="2" fillId="0" borderId="0" applyFont="0" applyFill="0" applyBorder="0" applyAlignment="0" applyProtection="0"/>
    <xf numFmtId="169" fontId="33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" fillId="0" borderId="0"/>
    <xf numFmtId="165" fontId="34" fillId="0" borderId="0"/>
    <xf numFmtId="0" fontId="32" fillId="0" borderId="0"/>
    <xf numFmtId="0" fontId="32" fillId="0" borderId="0"/>
    <xf numFmtId="170" fontId="34" fillId="0" borderId="0"/>
    <xf numFmtId="0" fontId="32" fillId="0" borderId="0"/>
    <xf numFmtId="0" fontId="35" fillId="0" borderId="0"/>
    <xf numFmtId="0" fontId="32" fillId="15" borderId="5" applyNumberFormat="0" applyFont="0" applyAlignment="0" applyProtection="0"/>
    <xf numFmtId="0" fontId="32" fillId="15" borderId="5" applyNumberFormat="0" applyFont="0" applyAlignment="0" applyProtection="0"/>
    <xf numFmtId="0" fontId="32" fillId="15" borderId="5" applyNumberFormat="0" applyFont="0" applyAlignment="0" applyProtection="0"/>
    <xf numFmtId="171" fontId="33" fillId="0" borderId="0">
      <protection locked="0"/>
    </xf>
    <xf numFmtId="172" fontId="33" fillId="0" borderId="0">
      <protection locked="0"/>
    </xf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73" fontId="2" fillId="0" borderId="0"/>
    <xf numFmtId="0" fontId="2" fillId="0" borderId="0"/>
    <xf numFmtId="174" fontId="37" fillId="0" borderId="0">
      <protection locked="0"/>
    </xf>
    <xf numFmtId="174" fontId="37" fillId="0" borderId="0">
      <protection locked="0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4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" fillId="0" borderId="0"/>
    <xf numFmtId="0" fontId="2" fillId="0" borderId="0"/>
  </cellStyleXfs>
  <cellXfs count="183">
    <xf numFmtId="0" fontId="0" fillId="0" borderId="0" xfId="0"/>
    <xf numFmtId="0" fontId="2" fillId="0" borderId="0" xfId="2"/>
    <xf numFmtId="0" fontId="3" fillId="0" borderId="0" xfId="2" applyFont="1"/>
    <xf numFmtId="0" fontId="2" fillId="0" borderId="1" xfId="3" applyBorder="1"/>
    <xf numFmtId="0" fontId="2" fillId="0" borderId="2" xfId="3" applyBorder="1"/>
    <xf numFmtId="15" fontId="6" fillId="0" borderId="2" xfId="3" applyNumberFormat="1" applyFont="1" applyBorder="1" applyAlignment="1">
      <alignment horizontal="right"/>
    </xf>
    <xf numFmtId="4" fontId="2" fillId="0" borderId="4" xfId="3" applyNumberFormat="1" applyBorder="1" applyAlignment="1">
      <alignment horizontal="center"/>
    </xf>
    <xf numFmtId="4" fontId="2" fillId="0" borderId="4" xfId="3" applyNumberFormat="1" applyBorder="1"/>
    <xf numFmtId="0" fontId="2" fillId="0" borderId="4" xfId="3" applyBorder="1" applyAlignment="1">
      <alignment vertical="top"/>
    </xf>
    <xf numFmtId="0" fontId="8" fillId="0" borderId="4" xfId="3" applyFont="1" applyBorder="1" applyAlignment="1">
      <alignment horizontal="justify" vertical="top"/>
    </xf>
    <xf numFmtId="0" fontId="2" fillId="0" borderId="1" xfId="3" applyBorder="1" applyAlignment="1">
      <alignment horizontal="left"/>
    </xf>
    <xf numFmtId="0" fontId="9" fillId="0" borderId="0" xfId="2" applyFont="1" applyAlignment="1">
      <alignment horizontal="left"/>
    </xf>
    <xf numFmtId="0" fontId="13" fillId="0" borderId="0" xfId="2" applyFont="1"/>
    <xf numFmtId="0" fontId="4" fillId="0" borderId="0" xfId="2" applyFont="1" applyAlignment="1">
      <alignment horizontal="left"/>
    </xf>
    <xf numFmtId="0" fontId="4" fillId="0" borderId="0" xfId="2" applyFont="1"/>
    <xf numFmtId="0" fontId="13" fillId="0" borderId="0" xfId="2" applyFont="1" applyAlignment="1">
      <alignment horizontal="centerContinuous"/>
    </xf>
    <xf numFmtId="4" fontId="3" fillId="0" borderId="4" xfId="3" applyNumberFormat="1" applyFont="1" applyBorder="1"/>
    <xf numFmtId="0" fontId="3" fillId="0" borderId="4" xfId="3" applyFont="1" applyBorder="1" applyAlignment="1">
      <alignment vertical="top"/>
    </xf>
    <xf numFmtId="0" fontId="14" fillId="0" borderId="4" xfId="3" applyFont="1" applyBorder="1" applyAlignment="1">
      <alignment horizontal="justify" vertical="top"/>
    </xf>
    <xf numFmtId="4" fontId="2" fillId="0" borderId="0" xfId="2" applyNumberFormat="1"/>
    <xf numFmtId="0" fontId="7" fillId="2" borderId="4" xfId="3" applyFont="1" applyFill="1" applyBorder="1" applyAlignment="1">
      <alignment horizontal="center"/>
    </xf>
    <xf numFmtId="10" fontId="2" fillId="0" borderId="4" xfId="4" applyNumberFormat="1" applyFont="1" applyBorder="1"/>
    <xf numFmtId="0" fontId="16" fillId="0" borderId="4" xfId="3" applyFont="1" applyBorder="1" applyAlignment="1">
      <alignment horizontal="justify" vertical="top"/>
    </xf>
    <xf numFmtId="0" fontId="2" fillId="0" borderId="0" xfId="1"/>
    <xf numFmtId="4" fontId="17" fillId="0" borderId="0" xfId="1" applyNumberFormat="1" applyFont="1"/>
    <xf numFmtId="4" fontId="17" fillId="0" borderId="6" xfId="1" applyNumberFormat="1" applyFont="1" applyBorder="1"/>
    <xf numFmtId="4" fontId="17" fillId="0" borderId="7" xfId="1" applyNumberFormat="1" applyFont="1" applyBorder="1"/>
    <xf numFmtId="4" fontId="18" fillId="0" borderId="7" xfId="1" applyNumberFormat="1" applyFont="1" applyBorder="1"/>
    <xf numFmtId="4" fontId="17" fillId="0" borderId="8" xfId="1" applyNumberFormat="1" applyFont="1" applyBorder="1"/>
    <xf numFmtId="4" fontId="18" fillId="0" borderId="0" xfId="1" applyNumberFormat="1" applyFont="1"/>
    <xf numFmtId="0" fontId="2" fillId="0" borderId="0" xfId="1" applyAlignment="1">
      <alignment horizontal="left" vertical="center" wrapText="1"/>
    </xf>
    <xf numFmtId="4" fontId="17" fillId="0" borderId="10" xfId="1" applyNumberFormat="1" applyFont="1" applyBorder="1"/>
    <xf numFmtId="4" fontId="17" fillId="0" borderId="11" xfId="1" applyNumberFormat="1" applyFont="1" applyBorder="1"/>
    <xf numFmtId="4" fontId="21" fillId="0" borderId="0" xfId="5" applyNumberFormat="1" applyFont="1" applyAlignment="1">
      <alignment horizontal="left" vertical="center" wrapText="1" readingOrder="1"/>
    </xf>
    <xf numFmtId="0" fontId="19" fillId="0" borderId="0" xfId="1" applyFont="1" applyAlignment="1">
      <alignment horizontal="left" vertical="center" wrapText="1"/>
    </xf>
    <xf numFmtId="4" fontId="17" fillId="0" borderId="13" xfId="1" applyNumberFormat="1" applyFont="1" applyBorder="1"/>
    <xf numFmtId="4" fontId="24" fillId="0" borderId="8" xfId="1" applyNumberFormat="1" applyFont="1" applyBorder="1"/>
    <xf numFmtId="4" fontId="17" fillId="0" borderId="9" xfId="1" applyNumberFormat="1" applyFont="1" applyBorder="1"/>
    <xf numFmtId="167" fontId="17" fillId="0" borderId="0" xfId="1" applyNumberFormat="1" applyFont="1"/>
    <xf numFmtId="4" fontId="17" fillId="0" borderId="9" xfId="1" applyNumberFormat="1" applyFont="1" applyBorder="1" applyAlignment="1">
      <alignment horizontal="left"/>
    </xf>
    <xf numFmtId="4" fontId="25" fillId="0" borderId="0" xfId="1" applyNumberFormat="1" applyFont="1"/>
    <xf numFmtId="0" fontId="26" fillId="0" borderId="0" xfId="1" applyFont="1"/>
    <xf numFmtId="4" fontId="25" fillId="0" borderId="8" xfId="1" applyNumberFormat="1" applyFont="1" applyBorder="1"/>
    <xf numFmtId="4" fontId="27" fillId="0" borderId="8" xfId="1" applyNumberFormat="1" applyFont="1" applyBorder="1" applyAlignment="1">
      <alignment horizontal="right"/>
    </xf>
    <xf numFmtId="4" fontId="27" fillId="0" borderId="0" xfId="1" applyNumberFormat="1" applyFont="1"/>
    <xf numFmtId="4" fontId="27" fillId="0" borderId="9" xfId="1" applyNumberFormat="1" applyFont="1" applyBorder="1"/>
    <xf numFmtId="4" fontId="17" fillId="0" borderId="12" xfId="1" applyNumberFormat="1" applyFont="1" applyBorder="1"/>
    <xf numFmtId="4" fontId="17" fillId="0" borderId="2" xfId="1" applyNumberFormat="1" applyFont="1" applyBorder="1"/>
    <xf numFmtId="4" fontId="17" fillId="0" borderId="7" xfId="1" applyNumberFormat="1" applyFont="1" applyBorder="1" applyAlignment="1">
      <alignment horizontal="right"/>
    </xf>
    <xf numFmtId="4" fontId="17" fillId="0" borderId="8" xfId="1" applyNumberFormat="1" applyFont="1" applyBorder="1" applyAlignment="1">
      <alignment horizontal="left"/>
    </xf>
    <xf numFmtId="4" fontId="17" fillId="0" borderId="0" xfId="1" applyNumberFormat="1" applyFont="1" applyAlignment="1">
      <alignment horizontal="left"/>
    </xf>
    <xf numFmtId="4" fontId="17" fillId="0" borderId="0" xfId="1" applyNumberFormat="1" applyFont="1" applyAlignment="1">
      <alignment horizontal="center"/>
    </xf>
    <xf numFmtId="4" fontId="17" fillId="0" borderId="8" xfId="1" applyNumberFormat="1" applyFont="1" applyBorder="1" applyAlignment="1">
      <alignment horizontal="right"/>
    </xf>
    <xf numFmtId="4" fontId="17" fillId="0" borderId="0" xfId="1" applyNumberFormat="1" applyFont="1" applyAlignment="1">
      <alignment horizontal="right"/>
    </xf>
    <xf numFmtId="167" fontId="17" fillId="0" borderId="0" xfId="1" applyNumberFormat="1" applyFont="1" applyAlignment="1">
      <alignment horizontal="left"/>
    </xf>
    <xf numFmtId="4" fontId="28" fillId="0" borderId="0" xfId="1" applyNumberFormat="1" applyFont="1"/>
    <xf numFmtId="4" fontId="28" fillId="0" borderId="0" xfId="1" applyNumberFormat="1" applyFont="1" applyAlignment="1">
      <alignment horizontal="left" indent="13"/>
    </xf>
    <xf numFmtId="0" fontId="2" fillId="0" borderId="0" xfId="1" applyAlignment="1">
      <alignment horizontal="left" vertical="center" wrapText="1" readingOrder="1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 applyAlignment="1">
      <alignment horizontal="right" vertical="top" indent="1"/>
    </xf>
    <xf numFmtId="0" fontId="2" fillId="0" borderId="9" xfId="0" applyFont="1" applyBorder="1" applyAlignment="1">
      <alignment horizontal="right" vertical="top" inden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 vertical="top" indent="1"/>
    </xf>
    <xf numFmtId="49" fontId="19" fillId="0" borderId="1" xfId="1" applyNumberFormat="1" applyFont="1" applyBorder="1" applyAlignment="1">
      <alignment horizontal="left" vertical="center" wrapText="1"/>
    </xf>
    <xf numFmtId="4" fontId="17" fillId="0" borderId="6" xfId="1" applyNumberFormat="1" applyFont="1" applyBorder="1" applyAlignment="1">
      <alignment horizontal="right"/>
    </xf>
    <xf numFmtId="166" fontId="3" fillId="0" borderId="6" xfId="51" applyNumberFormat="1" applyFont="1" applyBorder="1"/>
    <xf numFmtId="166" fontId="3" fillId="0" borderId="7" xfId="51" applyNumberFormat="1" applyFont="1" applyBorder="1"/>
    <xf numFmtId="0" fontId="3" fillId="0" borderId="7" xfId="0" applyFont="1" applyBorder="1"/>
    <xf numFmtId="0" fontId="3" fillId="0" borderId="13" xfId="0" applyFont="1" applyBorder="1"/>
    <xf numFmtId="0" fontId="0" fillId="0" borderId="8" xfId="0" applyBorder="1"/>
    <xf numFmtId="166" fontId="3" fillId="0" borderId="8" xfId="51" applyNumberFormat="1" applyFont="1" applyBorder="1"/>
    <xf numFmtId="166" fontId="3" fillId="0" borderId="0" xfId="51" applyNumberFormat="1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2" xfId="0" applyBorder="1"/>
    <xf numFmtId="0" fontId="3" fillId="0" borderId="9" xfId="0" applyFont="1" applyBorder="1"/>
    <xf numFmtId="0" fontId="2" fillId="0" borderId="9" xfId="0" applyFont="1" applyBorder="1" applyAlignment="1">
      <alignment horizontal="justify"/>
    </xf>
    <xf numFmtId="0" fontId="3" fillId="0" borderId="8" xfId="0" applyFont="1" applyBorder="1"/>
    <xf numFmtId="0" fontId="3" fillId="0" borderId="9" xfId="0" applyFont="1" applyBorder="1" applyAlignment="1">
      <alignment horizontal="justify"/>
    </xf>
    <xf numFmtId="166" fontId="3" fillId="0" borderId="1" xfId="51" applyNumberFormat="1" applyFont="1" applyBorder="1"/>
    <xf numFmtId="166" fontId="3" fillId="0" borderId="2" xfId="51" applyNumberFormat="1" applyFon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14" fontId="2" fillId="0" borderId="4" xfId="3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" fontId="2" fillId="0" borderId="0" xfId="1" applyNumberFormat="1"/>
    <xf numFmtId="0" fontId="40" fillId="0" borderId="4" xfId="3" applyFont="1" applyBorder="1" applyAlignment="1">
      <alignment vertical="top"/>
    </xf>
    <xf numFmtId="4" fontId="40" fillId="0" borderId="4" xfId="3" applyNumberFormat="1" applyFont="1" applyBorder="1" applyAlignment="1">
      <alignment horizontal="center"/>
    </xf>
    <xf numFmtId="4" fontId="40" fillId="0" borderId="4" xfId="3" applyNumberFormat="1" applyFont="1" applyBorder="1"/>
    <xf numFmtId="176" fontId="2" fillId="0" borderId="4" xfId="3" applyNumberFormat="1" applyBorder="1"/>
    <xf numFmtId="176" fontId="40" fillId="0" borderId="4" xfId="3" applyNumberFormat="1" applyFont="1" applyBorder="1"/>
    <xf numFmtId="0" fontId="2" fillId="0" borderId="8" xfId="0" applyFont="1" applyBorder="1"/>
    <xf numFmtId="0" fontId="2" fillId="0" borderId="0" xfId="0" applyFont="1" applyAlignment="1">
      <alignment horizontal="right" vertical="top" indent="1"/>
    </xf>
    <xf numFmtId="0" fontId="2" fillId="0" borderId="9" xfId="0" applyFont="1" applyBorder="1" applyAlignment="1">
      <alignment vertical="top"/>
    </xf>
    <xf numFmtId="0" fontId="40" fillId="0" borderId="9" xfId="0" applyFont="1" applyBorder="1"/>
    <xf numFmtId="4" fontId="8" fillId="0" borderId="4" xfId="3" applyNumberFormat="1" applyFont="1" applyBorder="1" applyAlignment="1">
      <alignment horizontal="justify" vertical="top"/>
    </xf>
    <xf numFmtId="0" fontId="3" fillId="0" borderId="0" xfId="0" applyFont="1" applyBorder="1" applyAlignment="1">
      <alignment horizontal="right" vertical="top" indent="1"/>
    </xf>
    <xf numFmtId="4" fontId="3" fillId="0" borderId="4" xfId="3" applyNumberFormat="1" applyFont="1" applyBorder="1" applyAlignment="1"/>
    <xf numFmtId="0" fontId="0" fillId="0" borderId="3" xfId="0" applyBorder="1"/>
    <xf numFmtId="0" fontId="3" fillId="0" borderId="0" xfId="0" applyFont="1" applyBorder="1"/>
    <xf numFmtId="0" fontId="3" fillId="0" borderId="0" xfId="0" applyFont="1" applyBorder="1" applyAlignment="1">
      <alignment horizontal="justify"/>
    </xf>
    <xf numFmtId="177" fontId="2" fillId="0" borderId="4" xfId="3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0" borderId="4" xfId="3" applyFont="1" applyBorder="1" applyAlignment="1">
      <alignment vertical="top"/>
    </xf>
    <xf numFmtId="0" fontId="2" fillId="0" borderId="0" xfId="5"/>
    <xf numFmtId="10" fontId="2" fillId="0" borderId="0" xfId="5" applyNumberFormat="1"/>
    <xf numFmtId="4" fontId="2" fillId="0" borderId="0" xfId="5" applyNumberFormat="1"/>
    <xf numFmtId="0" fontId="41" fillId="16" borderId="14" xfId="5" applyFont="1" applyFill="1" applyBorder="1"/>
    <xf numFmtId="0" fontId="3" fillId="0" borderId="4" xfId="5" applyFont="1" applyBorder="1"/>
    <xf numFmtId="0" fontId="41" fillId="16" borderId="15" xfId="5" applyFont="1" applyFill="1" applyBorder="1"/>
    <xf numFmtId="0" fontId="41" fillId="16" borderId="16" xfId="5" applyFont="1" applyFill="1" applyBorder="1"/>
    <xf numFmtId="4" fontId="42" fillId="0" borderId="4" xfId="5" applyNumberFormat="1" applyFont="1" applyBorder="1"/>
    <xf numFmtId="0" fontId="2" fillId="0" borderId="4" xfId="5" applyBorder="1"/>
    <xf numFmtId="4" fontId="42" fillId="0" borderId="4" xfId="5" applyNumberFormat="1" applyFont="1" applyBorder="1" applyAlignment="1">
      <alignment horizontal="right"/>
    </xf>
    <xf numFmtId="4" fontId="41" fillId="0" borderId="4" xfId="5" applyNumberFormat="1" applyFont="1" applyBorder="1"/>
    <xf numFmtId="167" fontId="2" fillId="0" borderId="0" xfId="5" applyNumberFormat="1"/>
    <xf numFmtId="4" fontId="41" fillId="0" borderId="14" xfId="5" applyNumberFormat="1" applyFont="1" applyBorder="1"/>
    <xf numFmtId="10" fontId="41" fillId="0" borderId="14" xfId="5" applyNumberFormat="1" applyFont="1" applyBorder="1"/>
    <xf numFmtId="0" fontId="2" fillId="0" borderId="4" xfId="5" applyFont="1" applyBorder="1" applyAlignment="1">
      <alignment horizontal="center"/>
    </xf>
    <xf numFmtId="10" fontId="41" fillId="0" borderId="4" xfId="5" applyNumberFormat="1" applyFont="1" applyBorder="1"/>
    <xf numFmtId="0" fontId="2" fillId="0" borderId="4" xfId="5" applyFont="1" applyBorder="1"/>
    <xf numFmtId="0" fontId="43" fillId="0" borderId="4" xfId="5" applyFont="1" applyBorder="1" applyAlignment="1">
      <alignment horizontal="center" vertical="center"/>
    </xf>
    <xf numFmtId="0" fontId="3" fillId="16" borderId="16" xfId="5" applyFont="1" applyFill="1" applyBorder="1" applyAlignment="1">
      <alignment horizontal="center"/>
    </xf>
    <xf numFmtId="0" fontId="2" fillId="0" borderId="11" xfId="5" applyBorder="1"/>
    <xf numFmtId="0" fontId="2" fillId="0" borderId="11" xfId="5" applyBorder="1" applyAlignment="1">
      <alignment horizontal="center"/>
    </xf>
    <xf numFmtId="0" fontId="3" fillId="0" borderId="11" xfId="5" applyFont="1" applyBorder="1" applyAlignment="1">
      <alignment horizontal="left"/>
    </xf>
    <xf numFmtId="166" fontId="3" fillId="0" borderId="0" xfId="51" applyNumberFormat="1" applyFont="1" applyBorder="1" applyAlignment="1"/>
    <xf numFmtId="0" fontId="2" fillId="0" borderId="0" xfId="5" applyBorder="1"/>
    <xf numFmtId="0" fontId="3" fillId="0" borderId="0" xfId="5" applyFont="1" applyBorder="1" applyAlignment="1">
      <alignment horizontal="left"/>
    </xf>
    <xf numFmtId="0" fontId="2" fillId="0" borderId="0" xfId="5" applyFont="1" applyBorder="1"/>
    <xf numFmtId="0" fontId="45" fillId="0" borderId="0" xfId="51" applyFont="1" applyBorder="1" applyAlignment="1"/>
    <xf numFmtId="0" fontId="1" fillId="0" borderId="4" xfId="3" applyFont="1" applyBorder="1" applyAlignment="1">
      <alignment vertical="top"/>
    </xf>
    <xf numFmtId="4" fontId="23" fillId="0" borderId="6" xfId="1" applyNumberFormat="1" applyFont="1" applyBorder="1" applyAlignment="1">
      <alignment horizontal="center" vertical="center" wrapText="1"/>
    </xf>
    <xf numFmtId="4" fontId="23" fillId="0" borderId="7" xfId="1" applyNumberFormat="1" applyFont="1" applyBorder="1" applyAlignment="1">
      <alignment horizontal="center" vertical="center" wrapText="1"/>
    </xf>
    <xf numFmtId="4" fontId="23" fillId="0" borderId="13" xfId="1" applyNumberFormat="1" applyFont="1" applyBorder="1" applyAlignment="1">
      <alignment horizontal="center" vertical="center" wrapText="1"/>
    </xf>
    <xf numFmtId="4" fontId="23" fillId="0" borderId="10" xfId="1" applyNumberFormat="1" applyFont="1" applyBorder="1" applyAlignment="1">
      <alignment horizontal="center" vertical="center" wrapText="1"/>
    </xf>
    <xf numFmtId="4" fontId="23" fillId="0" borderId="11" xfId="1" applyNumberFormat="1" applyFont="1" applyBorder="1" applyAlignment="1">
      <alignment horizontal="center" vertical="center" wrapText="1"/>
    </xf>
    <xf numFmtId="4" fontId="23" fillId="0" borderId="12" xfId="1" applyNumberFormat="1" applyFont="1" applyBorder="1" applyAlignment="1">
      <alignment horizontal="center" vertical="center" wrapText="1"/>
    </xf>
    <xf numFmtId="4" fontId="31" fillId="0" borderId="0" xfId="1" applyNumberFormat="1" applyFont="1" applyAlignment="1">
      <alignment horizontal="left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2" fillId="0" borderId="3" xfId="1" applyBorder="1" applyAlignment="1">
      <alignment wrapText="1"/>
    </xf>
    <xf numFmtId="49" fontId="21" fillId="0" borderId="0" xfId="5" applyNumberFormat="1" applyFont="1" applyAlignment="1">
      <alignment horizontal="left" vertical="center" wrapText="1" readingOrder="1"/>
    </xf>
    <xf numFmtId="0" fontId="2" fillId="0" borderId="0" xfId="1" applyAlignment="1">
      <alignment horizontal="left" vertical="center" wrapText="1" readingOrder="1"/>
    </xf>
    <xf numFmtId="0" fontId="2" fillId="0" borderId="9" xfId="1" applyBorder="1" applyAlignment="1">
      <alignment horizontal="left" vertical="center" wrapText="1" readingOrder="1"/>
    </xf>
    <xf numFmtId="4" fontId="21" fillId="0" borderId="0" xfId="5" applyNumberFormat="1" applyFont="1" applyAlignment="1">
      <alignment horizontal="left" vertical="center" wrapText="1" readingOrder="1"/>
    </xf>
    <xf numFmtId="0" fontId="22" fillId="0" borderId="0" xfId="1" applyFont="1" applyAlignment="1">
      <alignment horizontal="left" vertical="center" wrapText="1" readingOrder="1"/>
    </xf>
    <xf numFmtId="0" fontId="22" fillId="0" borderId="9" xfId="1" applyFont="1" applyBorder="1" applyAlignment="1">
      <alignment horizontal="left" vertical="center" wrapText="1" readingOrder="1"/>
    </xf>
    <xf numFmtId="4" fontId="21" fillId="0" borderId="11" xfId="5" applyNumberFormat="1" applyFont="1" applyBorder="1" applyAlignment="1">
      <alignment horizontal="left" vertical="center" wrapText="1" readingOrder="1"/>
    </xf>
    <xf numFmtId="0" fontId="22" fillId="0" borderId="11" xfId="1" applyFont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center" wrapText="1"/>
    </xf>
    <xf numFmtId="0" fontId="38" fillId="0" borderId="0" xfId="51" applyFont="1" applyAlignment="1">
      <alignment horizontal="left" vertical="center"/>
    </xf>
    <xf numFmtId="0" fontId="39" fillId="0" borderId="0" xfId="51" applyFont="1" applyAlignment="1">
      <alignment horizontal="left" vertical="center"/>
    </xf>
    <xf numFmtId="0" fontId="3" fillId="0" borderId="0" xfId="51" applyFont="1" applyAlignment="1">
      <alignment horizontal="center"/>
    </xf>
    <xf numFmtId="166" fontId="3" fillId="0" borderId="0" xfId="51" applyNumberFormat="1" applyFont="1" applyAlignment="1">
      <alignment horizontal="justify" vertical="center" wrapText="1"/>
    </xf>
    <xf numFmtId="166" fontId="3" fillId="0" borderId="9" xfId="51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4" fontId="3" fillId="0" borderId="11" xfId="2" applyNumberFormat="1" applyFont="1" applyBorder="1" applyAlignment="1">
      <alignment wrapText="1"/>
    </xf>
    <xf numFmtId="0" fontId="3" fillId="0" borderId="11" xfId="2" applyFont="1" applyBorder="1" applyAlignment="1">
      <alignment wrapText="1"/>
    </xf>
    <xf numFmtId="0" fontId="2" fillId="0" borderId="0" xfId="2" applyFont="1" applyAlignment="1">
      <alignment horizontal="justify" wrapText="1"/>
    </xf>
    <xf numFmtId="0" fontId="2" fillId="0" borderId="0" xfId="2" applyAlignment="1">
      <alignment horizontal="justify" wrapText="1"/>
    </xf>
    <xf numFmtId="0" fontId="47" fillId="0" borderId="0" xfId="51" applyFont="1" applyBorder="1" applyAlignment="1">
      <alignment horizontal="left" vertical="center"/>
    </xf>
    <xf numFmtId="0" fontId="46" fillId="0" borderId="0" xfId="51" applyFont="1" applyBorder="1" applyAlignment="1">
      <alignment horizontal="left" vertical="center"/>
    </xf>
    <xf numFmtId="0" fontId="3" fillId="0" borderId="0" xfId="5" applyFont="1" applyBorder="1" applyAlignment="1">
      <alignment horizontal="center"/>
    </xf>
    <xf numFmtId="0" fontId="3" fillId="16" borderId="14" xfId="5" applyFont="1" applyFill="1" applyBorder="1" applyAlignment="1">
      <alignment horizontal="center" vertical="center"/>
    </xf>
    <xf numFmtId="0" fontId="2" fillId="16" borderId="4" xfId="5" applyFont="1" applyFill="1" applyBorder="1" applyAlignment="1">
      <alignment horizontal="center" vertical="center"/>
    </xf>
    <xf numFmtId="0" fontId="2" fillId="16" borderId="16" xfId="5" applyFont="1" applyFill="1" applyBorder="1" applyAlignment="1">
      <alignment horizontal="center" vertical="center"/>
    </xf>
    <xf numFmtId="0" fontId="3" fillId="16" borderId="14" xfId="5" applyFont="1" applyFill="1" applyBorder="1" applyAlignment="1">
      <alignment horizontal="center"/>
    </xf>
    <xf numFmtId="0" fontId="44" fillId="16" borderId="14" xfId="5" applyFont="1" applyFill="1" applyBorder="1" applyAlignment="1">
      <alignment horizontal="center" vertical="center"/>
    </xf>
    <xf numFmtId="0" fontId="22" fillId="16" borderId="16" xfId="5" applyFont="1" applyFill="1" applyBorder="1" applyAlignment="1">
      <alignment horizontal="center" vertical="center"/>
    </xf>
    <xf numFmtId="0" fontId="2" fillId="0" borderId="0" xfId="5" applyBorder="1" applyAlignment="1">
      <alignment horizontal="justify" vertical="center" wrapText="1"/>
    </xf>
    <xf numFmtId="4" fontId="42" fillId="0" borderId="1" xfId="5" applyNumberFormat="1" applyFont="1" applyBorder="1" applyAlignment="1">
      <alignment horizontal="center"/>
    </xf>
    <xf numFmtId="4" fontId="42" fillId="0" borderId="3" xfId="5" applyNumberFormat="1" applyFont="1" applyBorder="1" applyAlignment="1">
      <alignment horizontal="center"/>
    </xf>
    <xf numFmtId="10" fontId="42" fillId="0" borderId="1" xfId="5" applyNumberFormat="1" applyFont="1" applyBorder="1" applyAlignment="1">
      <alignment horizontal="center"/>
    </xf>
    <xf numFmtId="10" fontId="42" fillId="0" borderId="3" xfId="5" applyNumberFormat="1" applyFont="1" applyBorder="1" applyAlignment="1">
      <alignment horizontal="center"/>
    </xf>
  </cellXfs>
  <cellStyles count="53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Data" xfId="18"/>
    <cellStyle name="Euro" xfId="19"/>
    <cellStyle name="Fixo" xfId="20"/>
    <cellStyle name="Moeda 2" xfId="21"/>
    <cellStyle name="Moeda 3" xfId="22"/>
    <cellStyle name="Normal" xfId="0" builtinId="0"/>
    <cellStyle name="Normal 10" xfId="23"/>
    <cellStyle name="Normal 2" xfId="1"/>
    <cellStyle name="Normal 2 2" xfId="52"/>
    <cellStyle name="Normal 2 3" xfId="5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9 2" xfId="32"/>
    <cellStyle name="Normal_P_Getulio Vargas" xfId="2"/>
    <cellStyle name="Normal_P_Getulio Vargas 2" xfId="51"/>
    <cellStyle name="Normal_P-HLEITE" xfId="3"/>
    <cellStyle name="Nota 2" xfId="33"/>
    <cellStyle name="Nota 3" xfId="34"/>
    <cellStyle name="Nota 4" xfId="35"/>
    <cellStyle name="Percentual" xfId="36"/>
    <cellStyle name="Ponto" xfId="37"/>
    <cellStyle name="Porcentagem" xfId="4" builtinId="5"/>
    <cellStyle name="Porcentagem 2" xfId="38"/>
    <cellStyle name="Porcentagem 3" xfId="39"/>
    <cellStyle name="Porcentagem 3 2" xfId="40"/>
    <cellStyle name="Porcentagem 4" xfId="41"/>
    <cellStyle name="Separador de milhares 2" xfId="42"/>
    <cellStyle name="TableStyleLight1" xfId="43"/>
    <cellStyle name="Titulo1" xfId="44"/>
    <cellStyle name="Titulo2" xfId="45"/>
    <cellStyle name="Vírgula 2" xfId="46"/>
    <cellStyle name="Vírgula 2 2" xfId="47"/>
    <cellStyle name="Vírgula 3" xfId="48"/>
    <cellStyle name="Vírgula 3 2" xfId="49"/>
    <cellStyle name="Vírgula 4" xfId="5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20</xdr:row>
      <xdr:rowOff>152400</xdr:rowOff>
    </xdr:from>
    <xdr:to>
      <xdr:col>10</xdr:col>
      <xdr:colOff>571500</xdr:colOff>
      <xdr:row>24</xdr:row>
      <xdr:rowOff>104775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086600" y="4152900"/>
          <a:ext cx="1133475" cy="7524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900"/>
            <a:t> (Informativo</a:t>
          </a:r>
          <a:r>
            <a:rPr lang="pt-BR" sz="900" baseline="0"/>
            <a:t> nº 028/2015/GIGOVVR - CEF, em E-mail de 02/Dez/2015).</a:t>
          </a:r>
          <a:endParaRPr lang="pt-BR" sz="900"/>
        </a:p>
      </xdr:txBody>
    </xdr:sp>
    <xdr:clientData/>
  </xdr:twoCellAnchor>
  <xdr:twoCellAnchor>
    <xdr:from>
      <xdr:col>9</xdr:col>
      <xdr:colOff>47629</xdr:colOff>
      <xdr:row>24</xdr:row>
      <xdr:rowOff>38100</xdr:rowOff>
    </xdr:from>
    <xdr:to>
      <xdr:col>10</xdr:col>
      <xdr:colOff>123825</xdr:colOff>
      <xdr:row>25</xdr:row>
      <xdr:rowOff>104777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rot="10800000" flipV="1">
          <a:off x="7086604" y="4838700"/>
          <a:ext cx="685796" cy="26670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42</xdr:row>
      <xdr:rowOff>28575</xdr:rowOff>
    </xdr:from>
    <xdr:to>
      <xdr:col>6</xdr:col>
      <xdr:colOff>514349</xdr:colOff>
      <xdr:row>53</xdr:row>
      <xdr:rowOff>171450</xdr:rowOff>
    </xdr:to>
    <xdr:sp macro="" textlink="">
      <xdr:nvSpPr>
        <xdr:cNvPr id="4" name="Chave direi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286375" y="8829675"/>
          <a:ext cx="266699" cy="23431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6</xdr:col>
      <xdr:colOff>714374</xdr:colOff>
      <xdr:row>44</xdr:row>
      <xdr:rowOff>142875</xdr:rowOff>
    </xdr:from>
    <xdr:to>
      <xdr:col>10</xdr:col>
      <xdr:colOff>0</xdr:colOff>
      <xdr:row>50</xdr:row>
      <xdr:rowOff>95250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753099" y="9344025"/>
          <a:ext cx="1895476" cy="11525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0" i="0" u="none"/>
            <a:t>(E-mail de 25/Nov/2014, da GIGOVVR - CEF).</a:t>
          </a:r>
        </a:p>
      </xdr:txBody>
    </xdr:sp>
    <xdr:clientData/>
  </xdr:twoCellAnchor>
  <xdr:twoCellAnchor>
    <xdr:from>
      <xdr:col>1</xdr:col>
      <xdr:colOff>226483</xdr:colOff>
      <xdr:row>1</xdr:row>
      <xdr:rowOff>105833</xdr:rowOff>
    </xdr:from>
    <xdr:to>
      <xdr:col>2</xdr:col>
      <xdr:colOff>338191</xdr:colOff>
      <xdr:row>5</xdr:row>
      <xdr:rowOff>158750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306916"/>
          <a:ext cx="725541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2</xdr:row>
      <xdr:rowOff>76200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85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590550</xdr:colOff>
      <xdr:row>2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42925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&#227;o%20Nardeli/Documents/Documents%2026_10_2018/Prefeitura/PMBM2015/Projetos%202015/Enviar/Nova%20pasta/Academia%20da%20Sa&#250;de%20Jardim%20Primavera%20-%20R1%20-%20C&#243;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BDI"/>
      <sheetName val="Orçam_completo"/>
      <sheetName val="Memoria Preço"/>
      <sheetName val="Orçam_completo (2)"/>
      <sheetName val="CRONOGRAMA"/>
      <sheetName val="CRONOGRAMA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63"/>
  <sheetViews>
    <sheetView view="pageBreakPreview" zoomScale="90" zoomScaleNormal="100" zoomScaleSheetLayoutView="90" workbookViewId="0">
      <selection activeCell="F29" sqref="F29"/>
    </sheetView>
  </sheetViews>
  <sheetFormatPr defaultRowHeight="12.75"/>
  <cols>
    <col min="1" max="1" width="9.28515625" style="23" customWidth="1"/>
    <col min="2" max="5" width="9.140625" style="23"/>
    <col min="6" max="6" width="29.7109375" style="23" customWidth="1"/>
    <col min="7" max="7" width="11" style="23" customWidth="1"/>
    <col min="8" max="8" width="9.140625" style="23"/>
    <col min="9" max="9" width="9.85546875" style="23" customWidth="1"/>
    <col min="10" max="11" width="9.140625" style="23"/>
    <col min="12" max="12" width="15.7109375" style="23" customWidth="1"/>
    <col min="13" max="256" width="9.140625" style="23"/>
    <col min="257" max="257" width="9.28515625" style="23" customWidth="1"/>
    <col min="258" max="261" width="9.140625" style="23"/>
    <col min="262" max="262" width="29.7109375" style="23" customWidth="1"/>
    <col min="263" max="263" width="11" style="23" customWidth="1"/>
    <col min="264" max="264" width="9.140625" style="23"/>
    <col min="265" max="265" width="9.85546875" style="23" customWidth="1"/>
    <col min="266" max="512" width="9.140625" style="23"/>
    <col min="513" max="513" width="9.28515625" style="23" customWidth="1"/>
    <col min="514" max="517" width="9.140625" style="23"/>
    <col min="518" max="518" width="29.7109375" style="23" customWidth="1"/>
    <col min="519" max="519" width="11" style="23" customWidth="1"/>
    <col min="520" max="520" width="9.140625" style="23"/>
    <col min="521" max="521" width="9.85546875" style="23" customWidth="1"/>
    <col min="522" max="768" width="9.140625" style="23"/>
    <col min="769" max="769" width="9.28515625" style="23" customWidth="1"/>
    <col min="770" max="773" width="9.140625" style="23"/>
    <col min="774" max="774" width="29.7109375" style="23" customWidth="1"/>
    <col min="775" max="775" width="11" style="23" customWidth="1"/>
    <col min="776" max="776" width="9.140625" style="23"/>
    <col min="777" max="777" width="9.85546875" style="23" customWidth="1"/>
    <col min="778" max="1024" width="9.140625" style="23"/>
    <col min="1025" max="1025" width="9.28515625" style="23" customWidth="1"/>
    <col min="1026" max="1029" width="9.140625" style="23"/>
    <col min="1030" max="1030" width="29.7109375" style="23" customWidth="1"/>
    <col min="1031" max="1031" width="11" style="23" customWidth="1"/>
    <col min="1032" max="1032" width="9.140625" style="23"/>
    <col min="1033" max="1033" width="9.85546875" style="23" customWidth="1"/>
    <col min="1034" max="1280" width="9.140625" style="23"/>
    <col min="1281" max="1281" width="9.28515625" style="23" customWidth="1"/>
    <col min="1282" max="1285" width="9.140625" style="23"/>
    <col min="1286" max="1286" width="29.7109375" style="23" customWidth="1"/>
    <col min="1287" max="1287" width="11" style="23" customWidth="1"/>
    <col min="1288" max="1288" width="9.140625" style="23"/>
    <col min="1289" max="1289" width="9.85546875" style="23" customWidth="1"/>
    <col min="1290" max="1536" width="9.140625" style="23"/>
    <col min="1537" max="1537" width="9.28515625" style="23" customWidth="1"/>
    <col min="1538" max="1541" width="9.140625" style="23"/>
    <col min="1542" max="1542" width="29.7109375" style="23" customWidth="1"/>
    <col min="1543" max="1543" width="11" style="23" customWidth="1"/>
    <col min="1544" max="1544" width="9.140625" style="23"/>
    <col min="1545" max="1545" width="9.85546875" style="23" customWidth="1"/>
    <col min="1546" max="1792" width="9.140625" style="23"/>
    <col min="1793" max="1793" width="9.28515625" style="23" customWidth="1"/>
    <col min="1794" max="1797" width="9.140625" style="23"/>
    <col min="1798" max="1798" width="29.7109375" style="23" customWidth="1"/>
    <col min="1799" max="1799" width="11" style="23" customWidth="1"/>
    <col min="1800" max="1800" width="9.140625" style="23"/>
    <col min="1801" max="1801" width="9.85546875" style="23" customWidth="1"/>
    <col min="1802" max="2048" width="9.140625" style="23"/>
    <col min="2049" max="2049" width="9.28515625" style="23" customWidth="1"/>
    <col min="2050" max="2053" width="9.140625" style="23"/>
    <col min="2054" max="2054" width="29.7109375" style="23" customWidth="1"/>
    <col min="2055" max="2055" width="11" style="23" customWidth="1"/>
    <col min="2056" max="2056" width="9.140625" style="23"/>
    <col min="2057" max="2057" width="9.85546875" style="23" customWidth="1"/>
    <col min="2058" max="2304" width="9.140625" style="23"/>
    <col min="2305" max="2305" width="9.28515625" style="23" customWidth="1"/>
    <col min="2306" max="2309" width="9.140625" style="23"/>
    <col min="2310" max="2310" width="29.7109375" style="23" customWidth="1"/>
    <col min="2311" max="2311" width="11" style="23" customWidth="1"/>
    <col min="2312" max="2312" width="9.140625" style="23"/>
    <col min="2313" max="2313" width="9.85546875" style="23" customWidth="1"/>
    <col min="2314" max="2560" width="9.140625" style="23"/>
    <col min="2561" max="2561" width="9.28515625" style="23" customWidth="1"/>
    <col min="2562" max="2565" width="9.140625" style="23"/>
    <col min="2566" max="2566" width="29.7109375" style="23" customWidth="1"/>
    <col min="2567" max="2567" width="11" style="23" customWidth="1"/>
    <col min="2568" max="2568" width="9.140625" style="23"/>
    <col min="2569" max="2569" width="9.85546875" style="23" customWidth="1"/>
    <col min="2570" max="2816" width="9.140625" style="23"/>
    <col min="2817" max="2817" width="9.28515625" style="23" customWidth="1"/>
    <col min="2818" max="2821" width="9.140625" style="23"/>
    <col min="2822" max="2822" width="29.7109375" style="23" customWidth="1"/>
    <col min="2823" max="2823" width="11" style="23" customWidth="1"/>
    <col min="2824" max="2824" width="9.140625" style="23"/>
    <col min="2825" max="2825" width="9.85546875" style="23" customWidth="1"/>
    <col min="2826" max="3072" width="9.140625" style="23"/>
    <col min="3073" max="3073" width="9.28515625" style="23" customWidth="1"/>
    <col min="3074" max="3077" width="9.140625" style="23"/>
    <col min="3078" max="3078" width="29.7109375" style="23" customWidth="1"/>
    <col min="3079" max="3079" width="11" style="23" customWidth="1"/>
    <col min="3080" max="3080" width="9.140625" style="23"/>
    <col min="3081" max="3081" width="9.85546875" style="23" customWidth="1"/>
    <col min="3082" max="3328" width="9.140625" style="23"/>
    <col min="3329" max="3329" width="9.28515625" style="23" customWidth="1"/>
    <col min="3330" max="3333" width="9.140625" style="23"/>
    <col min="3334" max="3334" width="29.7109375" style="23" customWidth="1"/>
    <col min="3335" max="3335" width="11" style="23" customWidth="1"/>
    <col min="3336" max="3336" width="9.140625" style="23"/>
    <col min="3337" max="3337" width="9.85546875" style="23" customWidth="1"/>
    <col min="3338" max="3584" width="9.140625" style="23"/>
    <col min="3585" max="3585" width="9.28515625" style="23" customWidth="1"/>
    <col min="3586" max="3589" width="9.140625" style="23"/>
    <col min="3590" max="3590" width="29.7109375" style="23" customWidth="1"/>
    <col min="3591" max="3591" width="11" style="23" customWidth="1"/>
    <col min="3592" max="3592" width="9.140625" style="23"/>
    <col min="3593" max="3593" width="9.85546875" style="23" customWidth="1"/>
    <col min="3594" max="3840" width="9.140625" style="23"/>
    <col min="3841" max="3841" width="9.28515625" style="23" customWidth="1"/>
    <col min="3842" max="3845" width="9.140625" style="23"/>
    <col min="3846" max="3846" width="29.7109375" style="23" customWidth="1"/>
    <col min="3847" max="3847" width="11" style="23" customWidth="1"/>
    <col min="3848" max="3848" width="9.140625" style="23"/>
    <col min="3849" max="3849" width="9.85546875" style="23" customWidth="1"/>
    <col min="3850" max="4096" width="9.140625" style="23"/>
    <col min="4097" max="4097" width="9.28515625" style="23" customWidth="1"/>
    <col min="4098" max="4101" width="9.140625" style="23"/>
    <col min="4102" max="4102" width="29.7109375" style="23" customWidth="1"/>
    <col min="4103" max="4103" width="11" style="23" customWidth="1"/>
    <col min="4104" max="4104" width="9.140625" style="23"/>
    <col min="4105" max="4105" width="9.85546875" style="23" customWidth="1"/>
    <col min="4106" max="4352" width="9.140625" style="23"/>
    <col min="4353" max="4353" width="9.28515625" style="23" customWidth="1"/>
    <col min="4354" max="4357" width="9.140625" style="23"/>
    <col min="4358" max="4358" width="29.7109375" style="23" customWidth="1"/>
    <col min="4359" max="4359" width="11" style="23" customWidth="1"/>
    <col min="4360" max="4360" width="9.140625" style="23"/>
    <col min="4361" max="4361" width="9.85546875" style="23" customWidth="1"/>
    <col min="4362" max="4608" width="9.140625" style="23"/>
    <col min="4609" max="4609" width="9.28515625" style="23" customWidth="1"/>
    <col min="4610" max="4613" width="9.140625" style="23"/>
    <col min="4614" max="4614" width="29.7109375" style="23" customWidth="1"/>
    <col min="4615" max="4615" width="11" style="23" customWidth="1"/>
    <col min="4616" max="4616" width="9.140625" style="23"/>
    <col min="4617" max="4617" width="9.85546875" style="23" customWidth="1"/>
    <col min="4618" max="4864" width="9.140625" style="23"/>
    <col min="4865" max="4865" width="9.28515625" style="23" customWidth="1"/>
    <col min="4866" max="4869" width="9.140625" style="23"/>
    <col min="4870" max="4870" width="29.7109375" style="23" customWidth="1"/>
    <col min="4871" max="4871" width="11" style="23" customWidth="1"/>
    <col min="4872" max="4872" width="9.140625" style="23"/>
    <col min="4873" max="4873" width="9.85546875" style="23" customWidth="1"/>
    <col min="4874" max="5120" width="9.140625" style="23"/>
    <col min="5121" max="5121" width="9.28515625" style="23" customWidth="1"/>
    <col min="5122" max="5125" width="9.140625" style="23"/>
    <col min="5126" max="5126" width="29.7109375" style="23" customWidth="1"/>
    <col min="5127" max="5127" width="11" style="23" customWidth="1"/>
    <col min="5128" max="5128" width="9.140625" style="23"/>
    <col min="5129" max="5129" width="9.85546875" style="23" customWidth="1"/>
    <col min="5130" max="5376" width="9.140625" style="23"/>
    <col min="5377" max="5377" width="9.28515625" style="23" customWidth="1"/>
    <col min="5378" max="5381" width="9.140625" style="23"/>
    <col min="5382" max="5382" width="29.7109375" style="23" customWidth="1"/>
    <col min="5383" max="5383" width="11" style="23" customWidth="1"/>
    <col min="5384" max="5384" width="9.140625" style="23"/>
    <col min="5385" max="5385" width="9.85546875" style="23" customWidth="1"/>
    <col min="5386" max="5632" width="9.140625" style="23"/>
    <col min="5633" max="5633" width="9.28515625" style="23" customWidth="1"/>
    <col min="5634" max="5637" width="9.140625" style="23"/>
    <col min="5638" max="5638" width="29.7109375" style="23" customWidth="1"/>
    <col min="5639" max="5639" width="11" style="23" customWidth="1"/>
    <col min="5640" max="5640" width="9.140625" style="23"/>
    <col min="5641" max="5641" width="9.85546875" style="23" customWidth="1"/>
    <col min="5642" max="5888" width="9.140625" style="23"/>
    <col min="5889" max="5889" width="9.28515625" style="23" customWidth="1"/>
    <col min="5890" max="5893" width="9.140625" style="23"/>
    <col min="5894" max="5894" width="29.7109375" style="23" customWidth="1"/>
    <col min="5895" max="5895" width="11" style="23" customWidth="1"/>
    <col min="5896" max="5896" width="9.140625" style="23"/>
    <col min="5897" max="5897" width="9.85546875" style="23" customWidth="1"/>
    <col min="5898" max="6144" width="9.140625" style="23"/>
    <col min="6145" max="6145" width="9.28515625" style="23" customWidth="1"/>
    <col min="6146" max="6149" width="9.140625" style="23"/>
    <col min="6150" max="6150" width="29.7109375" style="23" customWidth="1"/>
    <col min="6151" max="6151" width="11" style="23" customWidth="1"/>
    <col min="6152" max="6152" width="9.140625" style="23"/>
    <col min="6153" max="6153" width="9.85546875" style="23" customWidth="1"/>
    <col min="6154" max="6400" width="9.140625" style="23"/>
    <col min="6401" max="6401" width="9.28515625" style="23" customWidth="1"/>
    <col min="6402" max="6405" width="9.140625" style="23"/>
    <col min="6406" max="6406" width="29.7109375" style="23" customWidth="1"/>
    <col min="6407" max="6407" width="11" style="23" customWidth="1"/>
    <col min="6408" max="6408" width="9.140625" style="23"/>
    <col min="6409" max="6409" width="9.85546875" style="23" customWidth="1"/>
    <col min="6410" max="6656" width="9.140625" style="23"/>
    <col min="6657" max="6657" width="9.28515625" style="23" customWidth="1"/>
    <col min="6658" max="6661" width="9.140625" style="23"/>
    <col min="6662" max="6662" width="29.7109375" style="23" customWidth="1"/>
    <col min="6663" max="6663" width="11" style="23" customWidth="1"/>
    <col min="6664" max="6664" width="9.140625" style="23"/>
    <col min="6665" max="6665" width="9.85546875" style="23" customWidth="1"/>
    <col min="6666" max="6912" width="9.140625" style="23"/>
    <col min="6913" max="6913" width="9.28515625" style="23" customWidth="1"/>
    <col min="6914" max="6917" width="9.140625" style="23"/>
    <col min="6918" max="6918" width="29.7109375" style="23" customWidth="1"/>
    <col min="6919" max="6919" width="11" style="23" customWidth="1"/>
    <col min="6920" max="6920" width="9.140625" style="23"/>
    <col min="6921" max="6921" width="9.85546875" style="23" customWidth="1"/>
    <col min="6922" max="7168" width="9.140625" style="23"/>
    <col min="7169" max="7169" width="9.28515625" style="23" customWidth="1"/>
    <col min="7170" max="7173" width="9.140625" style="23"/>
    <col min="7174" max="7174" width="29.7109375" style="23" customWidth="1"/>
    <col min="7175" max="7175" width="11" style="23" customWidth="1"/>
    <col min="7176" max="7176" width="9.140625" style="23"/>
    <col min="7177" max="7177" width="9.85546875" style="23" customWidth="1"/>
    <col min="7178" max="7424" width="9.140625" style="23"/>
    <col min="7425" max="7425" width="9.28515625" style="23" customWidth="1"/>
    <col min="7426" max="7429" width="9.140625" style="23"/>
    <col min="7430" max="7430" width="29.7109375" style="23" customWidth="1"/>
    <col min="7431" max="7431" width="11" style="23" customWidth="1"/>
    <col min="7432" max="7432" width="9.140625" style="23"/>
    <col min="7433" max="7433" width="9.85546875" style="23" customWidth="1"/>
    <col min="7434" max="7680" width="9.140625" style="23"/>
    <col min="7681" max="7681" width="9.28515625" style="23" customWidth="1"/>
    <col min="7682" max="7685" width="9.140625" style="23"/>
    <col min="7686" max="7686" width="29.7109375" style="23" customWidth="1"/>
    <col min="7687" max="7687" width="11" style="23" customWidth="1"/>
    <col min="7688" max="7688" width="9.140625" style="23"/>
    <col min="7689" max="7689" width="9.85546875" style="23" customWidth="1"/>
    <col min="7690" max="7936" width="9.140625" style="23"/>
    <col min="7937" max="7937" width="9.28515625" style="23" customWidth="1"/>
    <col min="7938" max="7941" width="9.140625" style="23"/>
    <col min="7942" max="7942" width="29.7109375" style="23" customWidth="1"/>
    <col min="7943" max="7943" width="11" style="23" customWidth="1"/>
    <col min="7944" max="7944" width="9.140625" style="23"/>
    <col min="7945" max="7945" width="9.85546875" style="23" customWidth="1"/>
    <col min="7946" max="8192" width="9.140625" style="23"/>
    <col min="8193" max="8193" width="9.28515625" style="23" customWidth="1"/>
    <col min="8194" max="8197" width="9.140625" style="23"/>
    <col min="8198" max="8198" width="29.7109375" style="23" customWidth="1"/>
    <col min="8199" max="8199" width="11" style="23" customWidth="1"/>
    <col min="8200" max="8200" width="9.140625" style="23"/>
    <col min="8201" max="8201" width="9.85546875" style="23" customWidth="1"/>
    <col min="8202" max="8448" width="9.140625" style="23"/>
    <col min="8449" max="8449" width="9.28515625" style="23" customWidth="1"/>
    <col min="8450" max="8453" width="9.140625" style="23"/>
    <col min="8454" max="8454" width="29.7109375" style="23" customWidth="1"/>
    <col min="8455" max="8455" width="11" style="23" customWidth="1"/>
    <col min="8456" max="8456" width="9.140625" style="23"/>
    <col min="8457" max="8457" width="9.85546875" style="23" customWidth="1"/>
    <col min="8458" max="8704" width="9.140625" style="23"/>
    <col min="8705" max="8705" width="9.28515625" style="23" customWidth="1"/>
    <col min="8706" max="8709" width="9.140625" style="23"/>
    <col min="8710" max="8710" width="29.7109375" style="23" customWidth="1"/>
    <col min="8711" max="8711" width="11" style="23" customWidth="1"/>
    <col min="8712" max="8712" width="9.140625" style="23"/>
    <col min="8713" max="8713" width="9.85546875" style="23" customWidth="1"/>
    <col min="8714" max="8960" width="9.140625" style="23"/>
    <col min="8961" max="8961" width="9.28515625" style="23" customWidth="1"/>
    <col min="8962" max="8965" width="9.140625" style="23"/>
    <col min="8966" max="8966" width="29.7109375" style="23" customWidth="1"/>
    <col min="8967" max="8967" width="11" style="23" customWidth="1"/>
    <col min="8968" max="8968" width="9.140625" style="23"/>
    <col min="8969" max="8969" width="9.85546875" style="23" customWidth="1"/>
    <col min="8970" max="9216" width="9.140625" style="23"/>
    <col min="9217" max="9217" width="9.28515625" style="23" customWidth="1"/>
    <col min="9218" max="9221" width="9.140625" style="23"/>
    <col min="9222" max="9222" width="29.7109375" style="23" customWidth="1"/>
    <col min="9223" max="9223" width="11" style="23" customWidth="1"/>
    <col min="9224" max="9224" width="9.140625" style="23"/>
    <col min="9225" max="9225" width="9.85546875" style="23" customWidth="1"/>
    <col min="9226" max="9472" width="9.140625" style="23"/>
    <col min="9473" max="9473" width="9.28515625" style="23" customWidth="1"/>
    <col min="9474" max="9477" width="9.140625" style="23"/>
    <col min="9478" max="9478" width="29.7109375" style="23" customWidth="1"/>
    <col min="9479" max="9479" width="11" style="23" customWidth="1"/>
    <col min="9480" max="9480" width="9.140625" style="23"/>
    <col min="9481" max="9481" width="9.85546875" style="23" customWidth="1"/>
    <col min="9482" max="9728" width="9.140625" style="23"/>
    <col min="9729" max="9729" width="9.28515625" style="23" customWidth="1"/>
    <col min="9730" max="9733" width="9.140625" style="23"/>
    <col min="9734" max="9734" width="29.7109375" style="23" customWidth="1"/>
    <col min="9735" max="9735" width="11" style="23" customWidth="1"/>
    <col min="9736" max="9736" width="9.140625" style="23"/>
    <col min="9737" max="9737" width="9.85546875" style="23" customWidth="1"/>
    <col min="9738" max="9984" width="9.140625" style="23"/>
    <col min="9985" max="9985" width="9.28515625" style="23" customWidth="1"/>
    <col min="9986" max="9989" width="9.140625" style="23"/>
    <col min="9990" max="9990" width="29.7109375" style="23" customWidth="1"/>
    <col min="9991" max="9991" width="11" style="23" customWidth="1"/>
    <col min="9992" max="9992" width="9.140625" style="23"/>
    <col min="9993" max="9993" width="9.85546875" style="23" customWidth="1"/>
    <col min="9994" max="10240" width="9.140625" style="23"/>
    <col min="10241" max="10241" width="9.28515625" style="23" customWidth="1"/>
    <col min="10242" max="10245" width="9.140625" style="23"/>
    <col min="10246" max="10246" width="29.7109375" style="23" customWidth="1"/>
    <col min="10247" max="10247" width="11" style="23" customWidth="1"/>
    <col min="10248" max="10248" width="9.140625" style="23"/>
    <col min="10249" max="10249" width="9.85546875" style="23" customWidth="1"/>
    <col min="10250" max="10496" width="9.140625" style="23"/>
    <col min="10497" max="10497" width="9.28515625" style="23" customWidth="1"/>
    <col min="10498" max="10501" width="9.140625" style="23"/>
    <col min="10502" max="10502" width="29.7109375" style="23" customWidth="1"/>
    <col min="10503" max="10503" width="11" style="23" customWidth="1"/>
    <col min="10504" max="10504" width="9.140625" style="23"/>
    <col min="10505" max="10505" width="9.85546875" style="23" customWidth="1"/>
    <col min="10506" max="10752" width="9.140625" style="23"/>
    <col min="10753" max="10753" width="9.28515625" style="23" customWidth="1"/>
    <col min="10754" max="10757" width="9.140625" style="23"/>
    <col min="10758" max="10758" width="29.7109375" style="23" customWidth="1"/>
    <col min="10759" max="10759" width="11" style="23" customWidth="1"/>
    <col min="10760" max="10760" width="9.140625" style="23"/>
    <col min="10761" max="10761" width="9.85546875" style="23" customWidth="1"/>
    <col min="10762" max="11008" width="9.140625" style="23"/>
    <col min="11009" max="11009" width="9.28515625" style="23" customWidth="1"/>
    <col min="11010" max="11013" width="9.140625" style="23"/>
    <col min="11014" max="11014" width="29.7109375" style="23" customWidth="1"/>
    <col min="11015" max="11015" width="11" style="23" customWidth="1"/>
    <col min="11016" max="11016" width="9.140625" style="23"/>
    <col min="11017" max="11017" width="9.85546875" style="23" customWidth="1"/>
    <col min="11018" max="11264" width="9.140625" style="23"/>
    <col min="11265" max="11265" width="9.28515625" style="23" customWidth="1"/>
    <col min="11266" max="11269" width="9.140625" style="23"/>
    <col min="11270" max="11270" width="29.7109375" style="23" customWidth="1"/>
    <col min="11271" max="11271" width="11" style="23" customWidth="1"/>
    <col min="11272" max="11272" width="9.140625" style="23"/>
    <col min="11273" max="11273" width="9.85546875" style="23" customWidth="1"/>
    <col min="11274" max="11520" width="9.140625" style="23"/>
    <col min="11521" max="11521" width="9.28515625" style="23" customWidth="1"/>
    <col min="11522" max="11525" width="9.140625" style="23"/>
    <col min="11526" max="11526" width="29.7109375" style="23" customWidth="1"/>
    <col min="11527" max="11527" width="11" style="23" customWidth="1"/>
    <col min="11528" max="11528" width="9.140625" style="23"/>
    <col min="11529" max="11529" width="9.85546875" style="23" customWidth="1"/>
    <col min="11530" max="11776" width="9.140625" style="23"/>
    <col min="11777" max="11777" width="9.28515625" style="23" customWidth="1"/>
    <col min="11778" max="11781" width="9.140625" style="23"/>
    <col min="11782" max="11782" width="29.7109375" style="23" customWidth="1"/>
    <col min="11783" max="11783" width="11" style="23" customWidth="1"/>
    <col min="11784" max="11784" width="9.140625" style="23"/>
    <col min="11785" max="11785" width="9.85546875" style="23" customWidth="1"/>
    <col min="11786" max="12032" width="9.140625" style="23"/>
    <col min="12033" max="12033" width="9.28515625" style="23" customWidth="1"/>
    <col min="12034" max="12037" width="9.140625" style="23"/>
    <col min="12038" max="12038" width="29.7109375" style="23" customWidth="1"/>
    <col min="12039" max="12039" width="11" style="23" customWidth="1"/>
    <col min="12040" max="12040" width="9.140625" style="23"/>
    <col min="12041" max="12041" width="9.85546875" style="23" customWidth="1"/>
    <col min="12042" max="12288" width="9.140625" style="23"/>
    <col min="12289" max="12289" width="9.28515625" style="23" customWidth="1"/>
    <col min="12290" max="12293" width="9.140625" style="23"/>
    <col min="12294" max="12294" width="29.7109375" style="23" customWidth="1"/>
    <col min="12295" max="12295" width="11" style="23" customWidth="1"/>
    <col min="12296" max="12296" width="9.140625" style="23"/>
    <col min="12297" max="12297" width="9.85546875" style="23" customWidth="1"/>
    <col min="12298" max="12544" width="9.140625" style="23"/>
    <col min="12545" max="12545" width="9.28515625" style="23" customWidth="1"/>
    <col min="12546" max="12549" width="9.140625" style="23"/>
    <col min="12550" max="12550" width="29.7109375" style="23" customWidth="1"/>
    <col min="12551" max="12551" width="11" style="23" customWidth="1"/>
    <col min="12552" max="12552" width="9.140625" style="23"/>
    <col min="12553" max="12553" width="9.85546875" style="23" customWidth="1"/>
    <col min="12554" max="12800" width="9.140625" style="23"/>
    <col min="12801" max="12801" width="9.28515625" style="23" customWidth="1"/>
    <col min="12802" max="12805" width="9.140625" style="23"/>
    <col min="12806" max="12806" width="29.7109375" style="23" customWidth="1"/>
    <col min="12807" max="12807" width="11" style="23" customWidth="1"/>
    <col min="12808" max="12808" width="9.140625" style="23"/>
    <col min="12809" max="12809" width="9.85546875" style="23" customWidth="1"/>
    <col min="12810" max="13056" width="9.140625" style="23"/>
    <col min="13057" max="13057" width="9.28515625" style="23" customWidth="1"/>
    <col min="13058" max="13061" width="9.140625" style="23"/>
    <col min="13062" max="13062" width="29.7109375" style="23" customWidth="1"/>
    <col min="13063" max="13063" width="11" style="23" customWidth="1"/>
    <col min="13064" max="13064" width="9.140625" style="23"/>
    <col min="13065" max="13065" width="9.85546875" style="23" customWidth="1"/>
    <col min="13066" max="13312" width="9.140625" style="23"/>
    <col min="13313" max="13313" width="9.28515625" style="23" customWidth="1"/>
    <col min="13314" max="13317" width="9.140625" style="23"/>
    <col min="13318" max="13318" width="29.7109375" style="23" customWidth="1"/>
    <col min="13319" max="13319" width="11" style="23" customWidth="1"/>
    <col min="13320" max="13320" width="9.140625" style="23"/>
    <col min="13321" max="13321" width="9.85546875" style="23" customWidth="1"/>
    <col min="13322" max="13568" width="9.140625" style="23"/>
    <col min="13569" max="13569" width="9.28515625" style="23" customWidth="1"/>
    <col min="13570" max="13573" width="9.140625" style="23"/>
    <col min="13574" max="13574" width="29.7109375" style="23" customWidth="1"/>
    <col min="13575" max="13575" width="11" style="23" customWidth="1"/>
    <col min="13576" max="13576" width="9.140625" style="23"/>
    <col min="13577" max="13577" width="9.85546875" style="23" customWidth="1"/>
    <col min="13578" max="13824" width="9.140625" style="23"/>
    <col min="13825" max="13825" width="9.28515625" style="23" customWidth="1"/>
    <col min="13826" max="13829" width="9.140625" style="23"/>
    <col min="13830" max="13830" width="29.7109375" style="23" customWidth="1"/>
    <col min="13831" max="13831" width="11" style="23" customWidth="1"/>
    <col min="13832" max="13832" width="9.140625" style="23"/>
    <col min="13833" max="13833" width="9.85546875" style="23" customWidth="1"/>
    <col min="13834" max="14080" width="9.140625" style="23"/>
    <col min="14081" max="14081" width="9.28515625" style="23" customWidth="1"/>
    <col min="14082" max="14085" width="9.140625" style="23"/>
    <col min="14086" max="14086" width="29.7109375" style="23" customWidth="1"/>
    <col min="14087" max="14087" width="11" style="23" customWidth="1"/>
    <col min="14088" max="14088" width="9.140625" style="23"/>
    <col min="14089" max="14089" width="9.85546875" style="23" customWidth="1"/>
    <col min="14090" max="14336" width="9.140625" style="23"/>
    <col min="14337" max="14337" width="9.28515625" style="23" customWidth="1"/>
    <col min="14338" max="14341" width="9.140625" style="23"/>
    <col min="14342" max="14342" width="29.7109375" style="23" customWidth="1"/>
    <col min="14343" max="14343" width="11" style="23" customWidth="1"/>
    <col min="14344" max="14344" width="9.140625" style="23"/>
    <col min="14345" max="14345" width="9.85546875" style="23" customWidth="1"/>
    <col min="14346" max="14592" width="9.140625" style="23"/>
    <col min="14593" max="14593" width="9.28515625" style="23" customWidth="1"/>
    <col min="14594" max="14597" width="9.140625" style="23"/>
    <col min="14598" max="14598" width="29.7109375" style="23" customWidth="1"/>
    <col min="14599" max="14599" width="11" style="23" customWidth="1"/>
    <col min="14600" max="14600" width="9.140625" style="23"/>
    <col min="14601" max="14601" width="9.85546875" style="23" customWidth="1"/>
    <col min="14602" max="14848" width="9.140625" style="23"/>
    <col min="14849" max="14849" width="9.28515625" style="23" customWidth="1"/>
    <col min="14850" max="14853" width="9.140625" style="23"/>
    <col min="14854" max="14854" width="29.7109375" style="23" customWidth="1"/>
    <col min="14855" max="14855" width="11" style="23" customWidth="1"/>
    <col min="14856" max="14856" width="9.140625" style="23"/>
    <col min="14857" max="14857" width="9.85546875" style="23" customWidth="1"/>
    <col min="14858" max="15104" width="9.140625" style="23"/>
    <col min="15105" max="15105" width="9.28515625" style="23" customWidth="1"/>
    <col min="15106" max="15109" width="9.140625" style="23"/>
    <col min="15110" max="15110" width="29.7109375" style="23" customWidth="1"/>
    <col min="15111" max="15111" width="11" style="23" customWidth="1"/>
    <col min="15112" max="15112" width="9.140625" style="23"/>
    <col min="15113" max="15113" width="9.85546875" style="23" customWidth="1"/>
    <col min="15114" max="15360" width="9.140625" style="23"/>
    <col min="15361" max="15361" width="9.28515625" style="23" customWidth="1"/>
    <col min="15362" max="15365" width="9.140625" style="23"/>
    <col min="15366" max="15366" width="29.7109375" style="23" customWidth="1"/>
    <col min="15367" max="15367" width="11" style="23" customWidth="1"/>
    <col min="15368" max="15368" width="9.140625" style="23"/>
    <col min="15369" max="15369" width="9.85546875" style="23" customWidth="1"/>
    <col min="15370" max="15616" width="9.140625" style="23"/>
    <col min="15617" max="15617" width="9.28515625" style="23" customWidth="1"/>
    <col min="15618" max="15621" width="9.140625" style="23"/>
    <col min="15622" max="15622" width="29.7109375" style="23" customWidth="1"/>
    <col min="15623" max="15623" width="11" style="23" customWidth="1"/>
    <col min="15624" max="15624" width="9.140625" style="23"/>
    <col min="15625" max="15625" width="9.85546875" style="23" customWidth="1"/>
    <col min="15626" max="15872" width="9.140625" style="23"/>
    <col min="15873" max="15873" width="9.28515625" style="23" customWidth="1"/>
    <col min="15874" max="15877" width="9.140625" style="23"/>
    <col min="15878" max="15878" width="29.7109375" style="23" customWidth="1"/>
    <col min="15879" max="15879" width="11" style="23" customWidth="1"/>
    <col min="15880" max="15880" width="9.140625" style="23"/>
    <col min="15881" max="15881" width="9.85546875" style="23" customWidth="1"/>
    <col min="15882" max="16128" width="9.140625" style="23"/>
    <col min="16129" max="16129" width="9.28515625" style="23" customWidth="1"/>
    <col min="16130" max="16133" width="9.140625" style="23"/>
    <col min="16134" max="16134" width="29.7109375" style="23" customWidth="1"/>
    <col min="16135" max="16135" width="11" style="23" customWidth="1"/>
    <col min="16136" max="16136" width="9.140625" style="23"/>
    <col min="16137" max="16137" width="9.85546875" style="23" customWidth="1"/>
    <col min="16138" max="16384" width="9.140625" style="23"/>
  </cols>
  <sheetData>
    <row r="1" spans="1:12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>
      <c r="A2" s="24"/>
      <c r="B2" s="25"/>
      <c r="C2" s="26"/>
      <c r="D2" s="27" t="s">
        <v>24</v>
      </c>
      <c r="E2" s="27"/>
      <c r="F2" s="27"/>
      <c r="G2" s="66" t="s">
        <v>117</v>
      </c>
      <c r="H2" s="145" t="s">
        <v>124</v>
      </c>
      <c r="I2" s="146"/>
      <c r="J2" s="24"/>
      <c r="K2" s="24"/>
      <c r="L2" s="24"/>
    </row>
    <row r="3" spans="1:12" ht="15.75">
      <c r="A3" s="24"/>
      <c r="B3" s="28"/>
      <c r="C3" s="24"/>
      <c r="D3" s="29" t="s">
        <v>25</v>
      </c>
      <c r="E3" s="29"/>
      <c r="F3" s="29"/>
      <c r="G3" s="66" t="s">
        <v>118</v>
      </c>
      <c r="H3" s="145" t="s">
        <v>125</v>
      </c>
      <c r="I3" s="146"/>
      <c r="J3" s="24"/>
      <c r="K3" s="24"/>
      <c r="L3" s="24"/>
    </row>
    <row r="4" spans="1:12" ht="15.75">
      <c r="A4" s="24"/>
      <c r="B4" s="28"/>
      <c r="C4" s="24"/>
      <c r="D4" s="29" t="s">
        <v>60</v>
      </c>
      <c r="E4" s="29"/>
      <c r="F4" s="29"/>
      <c r="G4" s="66" t="s">
        <v>119</v>
      </c>
      <c r="H4" s="145" t="s">
        <v>155</v>
      </c>
      <c r="I4" s="146"/>
      <c r="J4" s="24"/>
      <c r="K4" s="24"/>
      <c r="L4" s="24"/>
    </row>
    <row r="5" spans="1:12" ht="15.75">
      <c r="A5" s="24"/>
      <c r="B5" s="28"/>
      <c r="C5" s="24"/>
      <c r="D5" s="147"/>
      <c r="E5" s="148"/>
      <c r="F5" s="148"/>
      <c r="G5" s="148"/>
      <c r="H5" s="148"/>
      <c r="I5" s="149"/>
      <c r="J5" s="30"/>
      <c r="K5" s="24"/>
      <c r="L5" s="24"/>
    </row>
    <row r="6" spans="1:12" ht="46.5" customHeight="1">
      <c r="A6" s="24"/>
      <c r="B6" s="28"/>
      <c r="C6" s="24"/>
      <c r="D6" s="150" t="s">
        <v>156</v>
      </c>
      <c r="E6" s="151"/>
      <c r="F6" s="151"/>
      <c r="G6" s="151"/>
      <c r="H6" s="151"/>
      <c r="I6" s="152"/>
      <c r="J6" s="57"/>
      <c r="K6" s="24"/>
      <c r="L6" s="24"/>
    </row>
    <row r="7" spans="1:12" ht="15.75" customHeight="1">
      <c r="A7" s="24"/>
      <c r="B7" s="31"/>
      <c r="C7" s="32"/>
      <c r="D7" s="153"/>
      <c r="E7" s="154"/>
      <c r="F7" s="154"/>
      <c r="G7" s="154"/>
      <c r="H7" s="154"/>
      <c r="I7" s="155"/>
      <c r="J7" s="30"/>
      <c r="K7" s="24"/>
      <c r="L7" s="24"/>
    </row>
    <row r="8" spans="1:12" ht="15.75">
      <c r="A8" s="24"/>
      <c r="B8" s="24"/>
      <c r="C8" s="24"/>
      <c r="D8" s="33"/>
      <c r="E8" s="34"/>
      <c r="F8" s="34"/>
      <c r="G8" s="34"/>
      <c r="H8" s="34"/>
      <c r="I8" s="34"/>
      <c r="J8" s="30"/>
      <c r="K8" s="24"/>
      <c r="L8" s="24"/>
    </row>
    <row r="9" spans="1:12" ht="15.75">
      <c r="A9" s="24"/>
      <c r="B9" s="24"/>
      <c r="C9" s="24"/>
      <c r="D9" s="33"/>
      <c r="E9" s="34"/>
      <c r="F9" s="34"/>
      <c r="G9" s="34"/>
      <c r="H9" s="34"/>
      <c r="I9" s="34"/>
      <c r="J9" s="30"/>
      <c r="K9" s="24"/>
      <c r="L9" s="24"/>
    </row>
    <row r="10" spans="1:12" ht="15.75">
      <c r="A10" s="24"/>
      <c r="B10" s="138" t="s">
        <v>126</v>
      </c>
      <c r="C10" s="139"/>
      <c r="D10" s="139"/>
      <c r="E10" s="139"/>
      <c r="F10" s="139"/>
      <c r="G10" s="139"/>
      <c r="H10" s="139"/>
      <c r="I10" s="140"/>
      <c r="J10" s="24"/>
      <c r="K10" s="24"/>
      <c r="L10" s="24"/>
    </row>
    <row r="11" spans="1:12" ht="15.75">
      <c r="A11" s="24"/>
      <c r="B11" s="141"/>
      <c r="C11" s="142"/>
      <c r="D11" s="142"/>
      <c r="E11" s="142"/>
      <c r="F11" s="142"/>
      <c r="G11" s="142"/>
      <c r="H11" s="142"/>
      <c r="I11" s="143"/>
      <c r="J11" s="24"/>
      <c r="K11" s="24"/>
      <c r="L11" s="24"/>
    </row>
    <row r="12" spans="1:12" ht="15.75">
      <c r="A12" s="24"/>
      <c r="B12" s="25"/>
      <c r="C12" s="26"/>
      <c r="D12" s="26"/>
      <c r="E12" s="26"/>
      <c r="F12" s="26"/>
      <c r="G12" s="26"/>
      <c r="H12" s="26"/>
      <c r="I12" s="35"/>
      <c r="J12" s="24"/>
      <c r="K12" s="24"/>
      <c r="L12" s="24"/>
    </row>
    <row r="13" spans="1:12" ht="15.75">
      <c r="A13" s="24"/>
      <c r="B13" s="36" t="s">
        <v>26</v>
      </c>
      <c r="C13" s="24"/>
      <c r="D13" s="24"/>
      <c r="E13" s="24"/>
      <c r="F13" s="24"/>
      <c r="G13" s="24"/>
      <c r="H13" s="24"/>
      <c r="I13" s="37"/>
      <c r="J13" s="24"/>
      <c r="K13" s="38"/>
      <c r="L13" s="24"/>
    </row>
    <row r="14" spans="1:12" ht="15.75">
      <c r="A14" s="24"/>
      <c r="B14" s="28"/>
      <c r="C14" s="24" t="s">
        <v>27</v>
      </c>
      <c r="D14" s="24"/>
      <c r="E14" s="24"/>
      <c r="F14" s="24"/>
      <c r="G14" s="24"/>
      <c r="H14" s="24">
        <v>3.5</v>
      </c>
      <c r="I14" s="39" t="s">
        <v>16</v>
      </c>
      <c r="J14" s="24" t="s">
        <v>28</v>
      </c>
      <c r="K14" s="24"/>
      <c r="L14" s="24"/>
    </row>
    <row r="15" spans="1:12" ht="15.75">
      <c r="A15" s="24"/>
      <c r="B15" s="28"/>
      <c r="C15" s="24" t="s">
        <v>29</v>
      </c>
      <c r="D15" s="24"/>
      <c r="E15" s="24"/>
      <c r="F15" s="24"/>
      <c r="G15" s="24"/>
      <c r="H15" s="24">
        <v>0</v>
      </c>
      <c r="I15" s="39" t="s">
        <v>16</v>
      </c>
      <c r="J15" s="24" t="s">
        <v>28</v>
      </c>
      <c r="K15" s="24"/>
      <c r="L15" s="24"/>
    </row>
    <row r="16" spans="1:12" ht="15.75">
      <c r="A16" s="24"/>
      <c r="B16" s="28"/>
      <c r="C16" s="24" t="s">
        <v>30</v>
      </c>
      <c r="D16" s="24"/>
      <c r="E16" s="24"/>
      <c r="F16" s="24"/>
      <c r="G16" s="24"/>
      <c r="H16" s="24">
        <v>0</v>
      </c>
      <c r="I16" s="39" t="s">
        <v>16</v>
      </c>
      <c r="J16" s="24" t="s">
        <v>28</v>
      </c>
      <c r="K16" s="24"/>
      <c r="L16" s="24"/>
    </row>
    <row r="17" spans="1:14" ht="15.75">
      <c r="A17" s="24"/>
      <c r="B17" s="28"/>
      <c r="C17" s="24" t="s">
        <v>31</v>
      </c>
      <c r="D17" s="24"/>
      <c r="E17" s="24"/>
      <c r="F17" s="24"/>
      <c r="G17" s="24"/>
      <c r="H17" s="24">
        <v>0.5</v>
      </c>
      <c r="I17" s="39" t="s">
        <v>16</v>
      </c>
      <c r="J17" s="24" t="s">
        <v>28</v>
      </c>
      <c r="K17" s="24"/>
      <c r="L17" s="24"/>
    </row>
    <row r="18" spans="1:14" ht="15.75">
      <c r="A18" s="24"/>
      <c r="B18" s="28"/>
      <c r="C18" s="24"/>
      <c r="D18" s="24"/>
      <c r="E18" s="24"/>
      <c r="F18" s="24"/>
      <c r="G18" s="24"/>
      <c r="H18" s="24"/>
      <c r="I18" s="37"/>
      <c r="J18" s="24"/>
      <c r="K18" s="24"/>
      <c r="L18" s="24"/>
    </row>
    <row r="19" spans="1:14" ht="15.75">
      <c r="A19" s="24"/>
      <c r="B19" s="36" t="s">
        <v>32</v>
      </c>
      <c r="C19" s="24"/>
      <c r="D19" s="24"/>
      <c r="E19" s="24"/>
      <c r="F19" s="24"/>
      <c r="G19" s="24"/>
      <c r="H19" s="24"/>
      <c r="I19" s="37"/>
      <c r="J19" s="24"/>
      <c r="K19" s="24"/>
      <c r="L19" s="24"/>
    </row>
    <row r="20" spans="1:14" ht="15.75">
      <c r="A20" s="24"/>
      <c r="B20" s="28"/>
      <c r="C20" s="40" t="s">
        <v>33</v>
      </c>
      <c r="D20" s="24"/>
      <c r="E20" s="24"/>
      <c r="F20" s="24"/>
      <c r="G20" s="24"/>
      <c r="H20" s="24"/>
      <c r="I20" s="37"/>
      <c r="J20" s="24"/>
      <c r="K20" s="24"/>
      <c r="L20" s="24"/>
    </row>
    <row r="21" spans="1:14" ht="15.75">
      <c r="A21" s="24"/>
      <c r="B21" s="28"/>
      <c r="C21" s="40"/>
      <c r="D21" s="24" t="s">
        <v>34</v>
      </c>
      <c r="E21" s="24"/>
      <c r="F21" s="24"/>
      <c r="G21" s="24"/>
      <c r="H21" s="24">
        <v>3</v>
      </c>
      <c r="I21" s="37"/>
      <c r="J21" s="24"/>
      <c r="K21" s="24"/>
      <c r="L21" s="24"/>
      <c r="N21" s="41"/>
    </row>
    <row r="22" spans="1:14" ht="15.75">
      <c r="A22" s="24"/>
      <c r="B22" s="28"/>
      <c r="C22" s="40" t="s">
        <v>35</v>
      </c>
      <c r="D22" s="24"/>
      <c r="E22" s="24"/>
      <c r="F22" s="24"/>
      <c r="G22" s="24"/>
      <c r="H22" s="24"/>
      <c r="I22" s="37"/>
      <c r="J22" s="24"/>
      <c r="K22" s="24"/>
      <c r="L22" s="24"/>
    </row>
    <row r="23" spans="1:14" ht="15.75">
      <c r="A23" s="24"/>
      <c r="B23" s="28"/>
      <c r="C23" s="40"/>
      <c r="D23" s="24" t="s">
        <v>36</v>
      </c>
      <c r="E23" s="24"/>
      <c r="F23" s="24"/>
      <c r="G23" s="24"/>
      <c r="H23" s="24">
        <v>0.65</v>
      </c>
      <c r="I23" s="37"/>
      <c r="J23" s="24"/>
      <c r="K23" s="24"/>
      <c r="L23" s="24"/>
    </row>
    <row r="24" spans="1:14" ht="15.75">
      <c r="A24" s="24"/>
      <c r="B24" s="28"/>
      <c r="C24" s="40"/>
      <c r="D24" s="24" t="s">
        <v>37</v>
      </c>
      <c r="E24" s="24"/>
      <c r="F24" s="24"/>
      <c r="G24" s="24"/>
      <c r="H24" s="24">
        <v>3</v>
      </c>
      <c r="I24" s="37"/>
      <c r="J24" s="24"/>
      <c r="K24" s="24"/>
      <c r="L24" s="24"/>
    </row>
    <row r="25" spans="1:14" ht="15.75">
      <c r="A25" s="24"/>
      <c r="B25" s="28"/>
      <c r="C25" s="40" t="s">
        <v>38</v>
      </c>
      <c r="D25" s="24"/>
      <c r="E25" s="24"/>
      <c r="F25" s="24"/>
      <c r="G25" s="24"/>
      <c r="H25" s="24">
        <v>4.5</v>
      </c>
      <c r="I25" s="37"/>
      <c r="J25" s="24"/>
      <c r="K25" s="24"/>
      <c r="L25" s="24"/>
    </row>
    <row r="26" spans="1:14" ht="15.75">
      <c r="A26" s="24"/>
      <c r="B26" s="28"/>
      <c r="C26" s="40" t="s">
        <v>39</v>
      </c>
      <c r="D26" s="24"/>
      <c r="E26" s="24"/>
      <c r="F26" s="24"/>
      <c r="G26" s="24"/>
      <c r="H26" s="24"/>
      <c r="I26" s="37"/>
      <c r="J26" s="24"/>
      <c r="K26" s="24"/>
      <c r="L26" s="24"/>
      <c r="M26" s="90"/>
    </row>
    <row r="27" spans="1:14" ht="15.75">
      <c r="A27" s="24"/>
      <c r="B27" s="28"/>
      <c r="C27" s="40"/>
      <c r="D27" s="24"/>
      <c r="E27" s="24"/>
      <c r="F27" s="24" t="s">
        <v>40</v>
      </c>
      <c r="G27" s="24"/>
      <c r="H27" s="24">
        <v>11.15</v>
      </c>
      <c r="I27" s="37" t="s">
        <v>16</v>
      </c>
      <c r="J27" s="24"/>
      <c r="K27" s="24"/>
      <c r="L27" s="24"/>
      <c r="M27" s="90"/>
    </row>
    <row r="28" spans="1:14" ht="15.75">
      <c r="A28" s="24"/>
      <c r="B28" s="28"/>
      <c r="C28" s="40"/>
      <c r="D28" s="24"/>
      <c r="E28" s="24"/>
      <c r="F28" s="24"/>
      <c r="G28" s="24"/>
      <c r="H28" s="24"/>
      <c r="I28" s="37"/>
      <c r="J28" s="24"/>
      <c r="K28" s="24"/>
      <c r="L28" s="24"/>
      <c r="M28" s="90"/>
    </row>
    <row r="29" spans="1:14" ht="15.75">
      <c r="A29" s="24"/>
      <c r="B29" s="42" t="s">
        <v>41</v>
      </c>
      <c r="C29" s="24"/>
      <c r="D29" s="24"/>
      <c r="E29" s="24"/>
      <c r="F29" s="24"/>
      <c r="G29" s="24"/>
      <c r="H29" s="24"/>
      <c r="I29" s="37"/>
      <c r="J29" s="24"/>
      <c r="K29" s="24"/>
      <c r="L29" s="24"/>
      <c r="M29" s="90"/>
    </row>
    <row r="30" spans="1:14" ht="15.75">
      <c r="A30" s="24"/>
      <c r="B30" s="28"/>
      <c r="C30" s="24" t="s">
        <v>42</v>
      </c>
      <c r="D30" s="24"/>
      <c r="E30" s="24"/>
      <c r="F30" s="24"/>
      <c r="G30" s="24"/>
      <c r="H30" s="24">
        <v>1</v>
      </c>
      <c r="I30" s="37" t="s">
        <v>16</v>
      </c>
      <c r="J30" s="24" t="s">
        <v>28</v>
      </c>
      <c r="K30" s="24"/>
      <c r="L30" s="24"/>
    </row>
    <row r="31" spans="1:14" ht="15.75">
      <c r="A31" s="24"/>
      <c r="B31" s="28"/>
      <c r="C31" s="24"/>
      <c r="D31" s="24"/>
      <c r="E31" s="24"/>
      <c r="F31" s="24"/>
      <c r="G31" s="24"/>
      <c r="H31" s="24"/>
      <c r="I31" s="37"/>
      <c r="J31" s="24"/>
      <c r="K31" s="24"/>
      <c r="L31" s="24"/>
    </row>
    <row r="32" spans="1:14" ht="15.75">
      <c r="A32" s="24"/>
      <c r="B32" s="43" t="s">
        <v>17</v>
      </c>
      <c r="C32" s="44" t="s">
        <v>43</v>
      </c>
      <c r="D32" s="44"/>
      <c r="E32" s="44"/>
      <c r="F32" s="44"/>
      <c r="G32" s="44"/>
      <c r="H32" s="44">
        <f>L36</f>
        <v>18.241615081598184</v>
      </c>
      <c r="I32" s="45" t="s">
        <v>16</v>
      </c>
      <c r="J32" s="24"/>
      <c r="K32" s="24"/>
      <c r="L32" s="24"/>
    </row>
    <row r="33" spans="1:12" ht="15.75">
      <c r="A33" s="24"/>
      <c r="B33" s="31"/>
      <c r="C33" s="32"/>
      <c r="D33" s="32"/>
      <c r="E33" s="32"/>
      <c r="F33" s="32"/>
      <c r="G33" s="32"/>
      <c r="H33" s="32"/>
      <c r="I33" s="46"/>
      <c r="J33" s="24"/>
      <c r="K33" s="24"/>
      <c r="L33" s="24"/>
    </row>
    <row r="34" spans="1:12" ht="15.75">
      <c r="A34" s="24"/>
      <c r="B34" s="47"/>
      <c r="C34" s="47"/>
      <c r="D34" s="47"/>
      <c r="E34" s="47"/>
      <c r="F34" s="47"/>
      <c r="G34" s="47"/>
      <c r="H34" s="47"/>
      <c r="I34" s="47"/>
      <c r="J34" s="24"/>
      <c r="K34" s="24"/>
      <c r="L34" s="24"/>
    </row>
    <row r="35" spans="1:12" ht="15.75">
      <c r="A35" s="24"/>
      <c r="B35" s="67"/>
      <c r="C35" s="26"/>
      <c r="D35" s="26"/>
      <c r="E35" s="26"/>
      <c r="F35" s="48"/>
      <c r="G35" s="26"/>
      <c r="H35" s="48"/>
      <c r="I35" s="35"/>
      <c r="J35" s="24"/>
      <c r="K35" s="24"/>
      <c r="L35" s="24"/>
    </row>
    <row r="36" spans="1:12" ht="15.75">
      <c r="A36" s="24"/>
      <c r="B36" s="49" t="s">
        <v>44</v>
      </c>
      <c r="C36" s="50" t="s">
        <v>45</v>
      </c>
      <c r="D36" s="51"/>
      <c r="E36" s="51"/>
      <c r="F36" s="51"/>
      <c r="G36" s="50" t="s">
        <v>46</v>
      </c>
      <c r="H36" s="24"/>
      <c r="I36" s="37"/>
      <c r="J36" s="24"/>
      <c r="K36" s="53" t="s">
        <v>48</v>
      </c>
      <c r="L36" s="54">
        <f>(((((1+(H14/100)+(H15/100)+(H16/100))*(1+(H17/100))*(1+(H30/100)))/(1-(H27/100)))-1)*100)</f>
        <v>18.241615081598184</v>
      </c>
    </row>
    <row r="37" spans="1:12" ht="15.75">
      <c r="A37" s="24"/>
      <c r="B37" s="28"/>
      <c r="C37" s="26" t="s">
        <v>47</v>
      </c>
      <c r="D37" s="26"/>
      <c r="E37" s="26"/>
      <c r="F37" s="26"/>
      <c r="G37" s="24"/>
      <c r="H37" s="24"/>
      <c r="I37" s="37"/>
      <c r="J37" s="24"/>
      <c r="K37" s="24"/>
      <c r="L37" s="24"/>
    </row>
    <row r="38" spans="1:12" ht="15.75">
      <c r="A38" s="24"/>
      <c r="B38" s="52"/>
      <c r="C38" s="24"/>
      <c r="D38" s="24"/>
      <c r="E38" s="24"/>
      <c r="F38" s="24"/>
      <c r="G38" s="24"/>
      <c r="H38" s="24"/>
      <c r="I38" s="37"/>
      <c r="J38" s="24"/>
      <c r="K38" s="24"/>
      <c r="L38" s="24"/>
    </row>
    <row r="39" spans="1:12" ht="15.75">
      <c r="A39" s="24"/>
      <c r="B39" s="28"/>
      <c r="C39" s="24"/>
      <c r="D39" s="24"/>
      <c r="E39" s="24"/>
      <c r="F39" s="24"/>
      <c r="G39" s="24"/>
      <c r="H39" s="24"/>
      <c r="I39" s="37"/>
      <c r="J39" s="24"/>
      <c r="K39" s="24"/>
      <c r="L39" s="24"/>
    </row>
    <row r="40" spans="1:12" ht="15.75">
      <c r="A40" s="24"/>
      <c r="B40" s="31"/>
      <c r="C40" s="32"/>
      <c r="D40" s="32"/>
      <c r="E40" s="32"/>
      <c r="F40" s="32"/>
      <c r="G40" s="32"/>
      <c r="H40" s="32"/>
      <c r="I40" s="46"/>
      <c r="J40" s="24"/>
      <c r="K40" s="24"/>
      <c r="L40" s="24"/>
    </row>
    <row r="41" spans="1:12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.75">
      <c r="A44" s="24"/>
      <c r="B44" s="55" t="s">
        <v>49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.75">
      <c r="A45" s="24"/>
      <c r="B45" s="56" t="s">
        <v>50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.75">
      <c r="A46" s="24"/>
      <c r="B46" s="55" t="s">
        <v>51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.75">
      <c r="A47" s="24"/>
      <c r="B47" s="55" t="s">
        <v>52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>
      <c r="A48" s="24"/>
      <c r="B48" s="55" t="s">
        <v>53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.75">
      <c r="A49" s="24"/>
      <c r="B49" s="55" t="s">
        <v>54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.75">
      <c r="A50" s="24"/>
      <c r="B50" s="55" t="s">
        <v>55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.75">
      <c r="A51" s="24"/>
      <c r="B51" s="55" t="s">
        <v>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.75">
      <c r="A52" s="24"/>
      <c r="B52" s="55" t="s">
        <v>57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.75">
      <c r="A53" s="24"/>
      <c r="B53" s="55" t="s">
        <v>58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42.75" customHeight="1">
      <c r="A57" s="24"/>
      <c r="B57" s="144" t="s">
        <v>59</v>
      </c>
      <c r="C57" s="144"/>
      <c r="D57" s="144"/>
      <c r="E57" s="144"/>
      <c r="F57" s="144"/>
      <c r="G57" s="144"/>
      <c r="H57" s="144"/>
      <c r="I57" s="144"/>
      <c r="J57" s="144"/>
      <c r="K57" s="24"/>
      <c r="L57" s="24"/>
    </row>
    <row r="58" spans="1:12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</sheetData>
  <mergeCells count="8">
    <mergeCell ref="B10:I11"/>
    <mergeCell ref="B57:J57"/>
    <mergeCell ref="H2:I2"/>
    <mergeCell ref="H3:I3"/>
    <mergeCell ref="H4:I4"/>
    <mergeCell ref="D5:I5"/>
    <mergeCell ref="D6:I6"/>
    <mergeCell ref="D7:I7"/>
  </mergeCells>
  <pageMargins left="0.84" right="0.27" top="0.78740157480314965" bottom="0.78740157480314965" header="0.31496062992125984" footer="0.31496062992125984"/>
  <pageSetup paperSize="9" scale="95" orientation="portrait" horizontalDpi="4294967293" r:id="rId1"/>
  <headerFooter>
    <oddFooter>&amp;L&amp;P/&amp;N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8"/>
  <sheetViews>
    <sheetView view="pageBreakPreview" topLeftCell="A362" zoomScale="85" zoomScaleNormal="100" zoomScaleSheetLayoutView="85" workbookViewId="0">
      <selection activeCell="D392" sqref="D392"/>
    </sheetView>
  </sheetViews>
  <sheetFormatPr defaultRowHeight="12.75"/>
  <cols>
    <col min="1" max="1" width="6.42578125" customWidth="1"/>
    <col min="2" max="2" width="1.5703125" customWidth="1"/>
    <col min="3" max="3" width="27.140625" customWidth="1"/>
    <col min="4" max="4" width="63" customWidth="1"/>
    <col min="5" max="5" width="11.140625" customWidth="1"/>
    <col min="7" max="7" width="19.85546875" customWidth="1"/>
    <col min="8" max="8" width="21.85546875" customWidth="1"/>
    <col min="257" max="257" width="6.42578125" customWidth="1"/>
    <col min="258" max="258" width="1.5703125" customWidth="1"/>
    <col min="259" max="259" width="27.140625" customWidth="1"/>
    <col min="260" max="260" width="60.42578125" customWidth="1"/>
    <col min="261" max="261" width="11.140625" customWidth="1"/>
    <col min="513" max="513" width="6.42578125" customWidth="1"/>
    <col min="514" max="514" width="1.5703125" customWidth="1"/>
    <col min="515" max="515" width="27.140625" customWidth="1"/>
    <col min="516" max="516" width="60.42578125" customWidth="1"/>
    <col min="517" max="517" width="11.140625" customWidth="1"/>
    <col min="769" max="769" width="6.42578125" customWidth="1"/>
    <col min="770" max="770" width="1.5703125" customWidth="1"/>
    <col min="771" max="771" width="27.140625" customWidth="1"/>
    <col min="772" max="772" width="60.42578125" customWidth="1"/>
    <col min="773" max="773" width="11.140625" customWidth="1"/>
    <col min="1025" max="1025" width="6.42578125" customWidth="1"/>
    <col min="1026" max="1026" width="1.5703125" customWidth="1"/>
    <col min="1027" max="1027" width="27.140625" customWidth="1"/>
    <col min="1028" max="1028" width="60.42578125" customWidth="1"/>
    <col min="1029" max="1029" width="11.140625" customWidth="1"/>
    <col min="1281" max="1281" width="6.42578125" customWidth="1"/>
    <col min="1282" max="1282" width="1.5703125" customWidth="1"/>
    <col min="1283" max="1283" width="27.140625" customWidth="1"/>
    <col min="1284" max="1284" width="60.42578125" customWidth="1"/>
    <col min="1285" max="1285" width="11.140625" customWidth="1"/>
    <col min="1537" max="1537" width="6.42578125" customWidth="1"/>
    <col min="1538" max="1538" width="1.5703125" customWidth="1"/>
    <col min="1539" max="1539" width="27.140625" customWidth="1"/>
    <col min="1540" max="1540" width="60.42578125" customWidth="1"/>
    <col min="1541" max="1541" width="11.140625" customWidth="1"/>
    <col min="1793" max="1793" width="6.42578125" customWidth="1"/>
    <col min="1794" max="1794" width="1.5703125" customWidth="1"/>
    <col min="1795" max="1795" width="27.140625" customWidth="1"/>
    <col min="1796" max="1796" width="60.42578125" customWidth="1"/>
    <col min="1797" max="1797" width="11.140625" customWidth="1"/>
    <col min="2049" max="2049" width="6.42578125" customWidth="1"/>
    <col min="2050" max="2050" width="1.5703125" customWidth="1"/>
    <col min="2051" max="2051" width="27.140625" customWidth="1"/>
    <col min="2052" max="2052" width="60.42578125" customWidth="1"/>
    <col min="2053" max="2053" width="11.140625" customWidth="1"/>
    <col min="2305" max="2305" width="6.42578125" customWidth="1"/>
    <col min="2306" max="2306" width="1.5703125" customWidth="1"/>
    <col min="2307" max="2307" width="27.140625" customWidth="1"/>
    <col min="2308" max="2308" width="60.42578125" customWidth="1"/>
    <col min="2309" max="2309" width="11.140625" customWidth="1"/>
    <col min="2561" max="2561" width="6.42578125" customWidth="1"/>
    <col min="2562" max="2562" width="1.5703125" customWidth="1"/>
    <col min="2563" max="2563" width="27.140625" customWidth="1"/>
    <col min="2564" max="2564" width="60.42578125" customWidth="1"/>
    <col min="2565" max="2565" width="11.140625" customWidth="1"/>
    <col min="2817" max="2817" width="6.42578125" customWidth="1"/>
    <col min="2818" max="2818" width="1.5703125" customWidth="1"/>
    <col min="2819" max="2819" width="27.140625" customWidth="1"/>
    <col min="2820" max="2820" width="60.42578125" customWidth="1"/>
    <col min="2821" max="2821" width="11.140625" customWidth="1"/>
    <col min="3073" max="3073" width="6.42578125" customWidth="1"/>
    <col min="3074" max="3074" width="1.5703125" customWidth="1"/>
    <col min="3075" max="3075" width="27.140625" customWidth="1"/>
    <col min="3076" max="3076" width="60.42578125" customWidth="1"/>
    <col min="3077" max="3077" width="11.140625" customWidth="1"/>
    <col min="3329" max="3329" width="6.42578125" customWidth="1"/>
    <col min="3330" max="3330" width="1.5703125" customWidth="1"/>
    <col min="3331" max="3331" width="27.140625" customWidth="1"/>
    <col min="3332" max="3332" width="60.42578125" customWidth="1"/>
    <col min="3333" max="3333" width="11.140625" customWidth="1"/>
    <col min="3585" max="3585" width="6.42578125" customWidth="1"/>
    <col min="3586" max="3586" width="1.5703125" customWidth="1"/>
    <col min="3587" max="3587" width="27.140625" customWidth="1"/>
    <col min="3588" max="3588" width="60.42578125" customWidth="1"/>
    <col min="3589" max="3589" width="11.140625" customWidth="1"/>
    <col min="3841" max="3841" width="6.42578125" customWidth="1"/>
    <col min="3842" max="3842" width="1.5703125" customWidth="1"/>
    <col min="3843" max="3843" width="27.140625" customWidth="1"/>
    <col min="3844" max="3844" width="60.42578125" customWidth="1"/>
    <col min="3845" max="3845" width="11.140625" customWidth="1"/>
    <col min="4097" max="4097" width="6.42578125" customWidth="1"/>
    <col min="4098" max="4098" width="1.5703125" customWidth="1"/>
    <col min="4099" max="4099" width="27.140625" customWidth="1"/>
    <col min="4100" max="4100" width="60.42578125" customWidth="1"/>
    <col min="4101" max="4101" width="11.140625" customWidth="1"/>
    <col min="4353" max="4353" width="6.42578125" customWidth="1"/>
    <col min="4354" max="4354" width="1.5703125" customWidth="1"/>
    <col min="4355" max="4355" width="27.140625" customWidth="1"/>
    <col min="4356" max="4356" width="60.42578125" customWidth="1"/>
    <col min="4357" max="4357" width="11.140625" customWidth="1"/>
    <col min="4609" max="4609" width="6.42578125" customWidth="1"/>
    <col min="4610" max="4610" width="1.5703125" customWidth="1"/>
    <col min="4611" max="4611" width="27.140625" customWidth="1"/>
    <col min="4612" max="4612" width="60.42578125" customWidth="1"/>
    <col min="4613" max="4613" width="11.140625" customWidth="1"/>
    <col min="4865" max="4865" width="6.42578125" customWidth="1"/>
    <col min="4866" max="4866" width="1.5703125" customWidth="1"/>
    <col min="4867" max="4867" width="27.140625" customWidth="1"/>
    <col min="4868" max="4868" width="60.42578125" customWidth="1"/>
    <col min="4869" max="4869" width="11.140625" customWidth="1"/>
    <col min="5121" max="5121" width="6.42578125" customWidth="1"/>
    <col min="5122" max="5122" width="1.5703125" customWidth="1"/>
    <col min="5123" max="5123" width="27.140625" customWidth="1"/>
    <col min="5124" max="5124" width="60.42578125" customWidth="1"/>
    <col min="5125" max="5125" width="11.140625" customWidth="1"/>
    <col min="5377" max="5377" width="6.42578125" customWidth="1"/>
    <col min="5378" max="5378" width="1.5703125" customWidth="1"/>
    <col min="5379" max="5379" width="27.140625" customWidth="1"/>
    <col min="5380" max="5380" width="60.42578125" customWidth="1"/>
    <col min="5381" max="5381" width="11.140625" customWidth="1"/>
    <col min="5633" max="5633" width="6.42578125" customWidth="1"/>
    <col min="5634" max="5634" width="1.5703125" customWidth="1"/>
    <col min="5635" max="5635" width="27.140625" customWidth="1"/>
    <col min="5636" max="5636" width="60.42578125" customWidth="1"/>
    <col min="5637" max="5637" width="11.140625" customWidth="1"/>
    <col min="5889" max="5889" width="6.42578125" customWidth="1"/>
    <col min="5890" max="5890" width="1.5703125" customWidth="1"/>
    <col min="5891" max="5891" width="27.140625" customWidth="1"/>
    <col min="5892" max="5892" width="60.42578125" customWidth="1"/>
    <col min="5893" max="5893" width="11.140625" customWidth="1"/>
    <col min="6145" max="6145" width="6.42578125" customWidth="1"/>
    <col min="6146" max="6146" width="1.5703125" customWidth="1"/>
    <col min="6147" max="6147" width="27.140625" customWidth="1"/>
    <col min="6148" max="6148" width="60.42578125" customWidth="1"/>
    <col min="6149" max="6149" width="11.140625" customWidth="1"/>
    <col min="6401" max="6401" width="6.42578125" customWidth="1"/>
    <col min="6402" max="6402" width="1.5703125" customWidth="1"/>
    <col min="6403" max="6403" width="27.140625" customWidth="1"/>
    <col min="6404" max="6404" width="60.42578125" customWidth="1"/>
    <col min="6405" max="6405" width="11.140625" customWidth="1"/>
    <col min="6657" max="6657" width="6.42578125" customWidth="1"/>
    <col min="6658" max="6658" width="1.5703125" customWidth="1"/>
    <col min="6659" max="6659" width="27.140625" customWidth="1"/>
    <col min="6660" max="6660" width="60.42578125" customWidth="1"/>
    <col min="6661" max="6661" width="11.140625" customWidth="1"/>
    <col min="6913" max="6913" width="6.42578125" customWidth="1"/>
    <col min="6914" max="6914" width="1.5703125" customWidth="1"/>
    <col min="6915" max="6915" width="27.140625" customWidth="1"/>
    <col min="6916" max="6916" width="60.42578125" customWidth="1"/>
    <col min="6917" max="6917" width="11.140625" customWidth="1"/>
    <col min="7169" max="7169" width="6.42578125" customWidth="1"/>
    <col min="7170" max="7170" width="1.5703125" customWidth="1"/>
    <col min="7171" max="7171" width="27.140625" customWidth="1"/>
    <col min="7172" max="7172" width="60.42578125" customWidth="1"/>
    <col min="7173" max="7173" width="11.140625" customWidth="1"/>
    <col min="7425" max="7425" width="6.42578125" customWidth="1"/>
    <col min="7426" max="7426" width="1.5703125" customWidth="1"/>
    <col min="7427" max="7427" width="27.140625" customWidth="1"/>
    <col min="7428" max="7428" width="60.42578125" customWidth="1"/>
    <col min="7429" max="7429" width="11.140625" customWidth="1"/>
    <col min="7681" max="7681" width="6.42578125" customWidth="1"/>
    <col min="7682" max="7682" width="1.5703125" customWidth="1"/>
    <col min="7683" max="7683" width="27.140625" customWidth="1"/>
    <col min="7684" max="7684" width="60.42578125" customWidth="1"/>
    <col min="7685" max="7685" width="11.140625" customWidth="1"/>
    <col min="7937" max="7937" width="6.42578125" customWidth="1"/>
    <col min="7938" max="7938" width="1.5703125" customWidth="1"/>
    <col min="7939" max="7939" width="27.140625" customWidth="1"/>
    <col min="7940" max="7940" width="60.42578125" customWidth="1"/>
    <col min="7941" max="7941" width="11.140625" customWidth="1"/>
    <col min="8193" max="8193" width="6.42578125" customWidth="1"/>
    <col min="8194" max="8194" width="1.5703125" customWidth="1"/>
    <col min="8195" max="8195" width="27.140625" customWidth="1"/>
    <col min="8196" max="8196" width="60.42578125" customWidth="1"/>
    <col min="8197" max="8197" width="11.140625" customWidth="1"/>
    <col min="8449" max="8449" width="6.42578125" customWidth="1"/>
    <col min="8450" max="8450" width="1.5703125" customWidth="1"/>
    <col min="8451" max="8451" width="27.140625" customWidth="1"/>
    <col min="8452" max="8452" width="60.42578125" customWidth="1"/>
    <col min="8453" max="8453" width="11.140625" customWidth="1"/>
    <col min="8705" max="8705" width="6.42578125" customWidth="1"/>
    <col min="8706" max="8706" width="1.5703125" customWidth="1"/>
    <col min="8707" max="8707" width="27.140625" customWidth="1"/>
    <col min="8708" max="8708" width="60.42578125" customWidth="1"/>
    <col min="8709" max="8709" width="11.140625" customWidth="1"/>
    <col min="8961" max="8961" width="6.42578125" customWidth="1"/>
    <col min="8962" max="8962" width="1.5703125" customWidth="1"/>
    <col min="8963" max="8963" width="27.140625" customWidth="1"/>
    <col min="8964" max="8964" width="60.42578125" customWidth="1"/>
    <col min="8965" max="8965" width="11.140625" customWidth="1"/>
    <col min="9217" max="9217" width="6.42578125" customWidth="1"/>
    <col min="9218" max="9218" width="1.5703125" customWidth="1"/>
    <col min="9219" max="9219" width="27.140625" customWidth="1"/>
    <col min="9220" max="9220" width="60.42578125" customWidth="1"/>
    <col min="9221" max="9221" width="11.140625" customWidth="1"/>
    <col min="9473" max="9473" width="6.42578125" customWidth="1"/>
    <col min="9474" max="9474" width="1.5703125" customWidth="1"/>
    <col min="9475" max="9475" width="27.140625" customWidth="1"/>
    <col min="9476" max="9476" width="60.42578125" customWidth="1"/>
    <col min="9477" max="9477" width="11.140625" customWidth="1"/>
    <col min="9729" max="9729" width="6.42578125" customWidth="1"/>
    <col min="9730" max="9730" width="1.5703125" customWidth="1"/>
    <col min="9731" max="9731" width="27.140625" customWidth="1"/>
    <col min="9732" max="9732" width="60.42578125" customWidth="1"/>
    <col min="9733" max="9733" width="11.140625" customWidth="1"/>
    <col min="9985" max="9985" width="6.42578125" customWidth="1"/>
    <col min="9986" max="9986" width="1.5703125" customWidth="1"/>
    <col min="9987" max="9987" width="27.140625" customWidth="1"/>
    <col min="9988" max="9988" width="60.42578125" customWidth="1"/>
    <col min="9989" max="9989" width="11.140625" customWidth="1"/>
    <col min="10241" max="10241" width="6.42578125" customWidth="1"/>
    <col min="10242" max="10242" width="1.5703125" customWidth="1"/>
    <col min="10243" max="10243" width="27.140625" customWidth="1"/>
    <col min="10244" max="10244" width="60.42578125" customWidth="1"/>
    <col min="10245" max="10245" width="11.140625" customWidth="1"/>
    <col min="10497" max="10497" width="6.42578125" customWidth="1"/>
    <col min="10498" max="10498" width="1.5703125" customWidth="1"/>
    <col min="10499" max="10499" width="27.140625" customWidth="1"/>
    <col min="10500" max="10500" width="60.42578125" customWidth="1"/>
    <col min="10501" max="10501" width="11.140625" customWidth="1"/>
    <col min="10753" max="10753" width="6.42578125" customWidth="1"/>
    <col min="10754" max="10754" width="1.5703125" customWidth="1"/>
    <col min="10755" max="10755" width="27.140625" customWidth="1"/>
    <col min="10756" max="10756" width="60.42578125" customWidth="1"/>
    <col min="10757" max="10757" width="11.140625" customWidth="1"/>
    <col min="11009" max="11009" width="6.42578125" customWidth="1"/>
    <col min="11010" max="11010" width="1.5703125" customWidth="1"/>
    <col min="11011" max="11011" width="27.140625" customWidth="1"/>
    <col min="11012" max="11012" width="60.42578125" customWidth="1"/>
    <col min="11013" max="11013" width="11.140625" customWidth="1"/>
    <col min="11265" max="11265" width="6.42578125" customWidth="1"/>
    <col min="11266" max="11266" width="1.5703125" customWidth="1"/>
    <col min="11267" max="11267" width="27.140625" customWidth="1"/>
    <col min="11268" max="11268" width="60.42578125" customWidth="1"/>
    <col min="11269" max="11269" width="11.140625" customWidth="1"/>
    <col min="11521" max="11521" width="6.42578125" customWidth="1"/>
    <col min="11522" max="11522" width="1.5703125" customWidth="1"/>
    <col min="11523" max="11523" width="27.140625" customWidth="1"/>
    <col min="11524" max="11524" width="60.42578125" customWidth="1"/>
    <col min="11525" max="11525" width="11.140625" customWidth="1"/>
    <col min="11777" max="11777" width="6.42578125" customWidth="1"/>
    <col min="11778" max="11778" width="1.5703125" customWidth="1"/>
    <col min="11779" max="11779" width="27.140625" customWidth="1"/>
    <col min="11780" max="11780" width="60.42578125" customWidth="1"/>
    <col min="11781" max="11781" width="11.140625" customWidth="1"/>
    <col min="12033" max="12033" width="6.42578125" customWidth="1"/>
    <col min="12034" max="12034" width="1.5703125" customWidth="1"/>
    <col min="12035" max="12035" width="27.140625" customWidth="1"/>
    <col min="12036" max="12036" width="60.42578125" customWidth="1"/>
    <col min="12037" max="12037" width="11.140625" customWidth="1"/>
    <col min="12289" max="12289" width="6.42578125" customWidth="1"/>
    <col min="12290" max="12290" width="1.5703125" customWidth="1"/>
    <col min="12291" max="12291" width="27.140625" customWidth="1"/>
    <col min="12292" max="12292" width="60.42578125" customWidth="1"/>
    <col min="12293" max="12293" width="11.140625" customWidth="1"/>
    <col min="12545" max="12545" width="6.42578125" customWidth="1"/>
    <col min="12546" max="12546" width="1.5703125" customWidth="1"/>
    <col min="12547" max="12547" width="27.140625" customWidth="1"/>
    <col min="12548" max="12548" width="60.42578125" customWidth="1"/>
    <col min="12549" max="12549" width="11.140625" customWidth="1"/>
    <col min="12801" max="12801" width="6.42578125" customWidth="1"/>
    <col min="12802" max="12802" width="1.5703125" customWidth="1"/>
    <col min="12803" max="12803" width="27.140625" customWidth="1"/>
    <col min="12804" max="12804" width="60.42578125" customWidth="1"/>
    <col min="12805" max="12805" width="11.140625" customWidth="1"/>
    <col min="13057" max="13057" width="6.42578125" customWidth="1"/>
    <col min="13058" max="13058" width="1.5703125" customWidth="1"/>
    <col min="13059" max="13059" width="27.140625" customWidth="1"/>
    <col min="13060" max="13060" width="60.42578125" customWidth="1"/>
    <col min="13061" max="13061" width="11.140625" customWidth="1"/>
    <col min="13313" max="13313" width="6.42578125" customWidth="1"/>
    <col min="13314" max="13314" width="1.5703125" customWidth="1"/>
    <col min="13315" max="13315" width="27.140625" customWidth="1"/>
    <col min="13316" max="13316" width="60.42578125" customWidth="1"/>
    <col min="13317" max="13317" width="11.140625" customWidth="1"/>
    <col min="13569" max="13569" width="6.42578125" customWidth="1"/>
    <col min="13570" max="13570" width="1.5703125" customWidth="1"/>
    <col min="13571" max="13571" width="27.140625" customWidth="1"/>
    <col min="13572" max="13572" width="60.42578125" customWidth="1"/>
    <col min="13573" max="13573" width="11.140625" customWidth="1"/>
    <col min="13825" max="13825" width="6.42578125" customWidth="1"/>
    <col min="13826" max="13826" width="1.5703125" customWidth="1"/>
    <col min="13827" max="13827" width="27.140625" customWidth="1"/>
    <col min="13828" max="13828" width="60.42578125" customWidth="1"/>
    <col min="13829" max="13829" width="11.140625" customWidth="1"/>
    <col min="14081" max="14081" width="6.42578125" customWidth="1"/>
    <col min="14082" max="14082" width="1.5703125" customWidth="1"/>
    <col min="14083" max="14083" width="27.140625" customWidth="1"/>
    <col min="14084" max="14084" width="60.42578125" customWidth="1"/>
    <col min="14085" max="14085" width="11.140625" customWidth="1"/>
    <col min="14337" max="14337" width="6.42578125" customWidth="1"/>
    <col min="14338" max="14338" width="1.5703125" customWidth="1"/>
    <col min="14339" max="14339" width="27.140625" customWidth="1"/>
    <col min="14340" max="14340" width="60.42578125" customWidth="1"/>
    <col min="14341" max="14341" width="11.140625" customWidth="1"/>
    <col min="14593" max="14593" width="6.42578125" customWidth="1"/>
    <col min="14594" max="14594" width="1.5703125" customWidth="1"/>
    <col min="14595" max="14595" width="27.140625" customWidth="1"/>
    <col min="14596" max="14596" width="60.42578125" customWidth="1"/>
    <col min="14597" max="14597" width="11.140625" customWidth="1"/>
    <col min="14849" max="14849" width="6.42578125" customWidth="1"/>
    <col min="14850" max="14850" width="1.5703125" customWidth="1"/>
    <col min="14851" max="14851" width="27.140625" customWidth="1"/>
    <col min="14852" max="14852" width="60.42578125" customWidth="1"/>
    <col min="14853" max="14853" width="11.140625" customWidth="1"/>
    <col min="15105" max="15105" width="6.42578125" customWidth="1"/>
    <col min="15106" max="15106" width="1.5703125" customWidth="1"/>
    <col min="15107" max="15107" width="27.140625" customWidth="1"/>
    <col min="15108" max="15108" width="60.42578125" customWidth="1"/>
    <col min="15109" max="15109" width="11.140625" customWidth="1"/>
    <col min="15361" max="15361" width="6.42578125" customWidth="1"/>
    <col min="15362" max="15362" width="1.5703125" customWidth="1"/>
    <col min="15363" max="15363" width="27.140625" customWidth="1"/>
    <col min="15364" max="15364" width="60.42578125" customWidth="1"/>
    <col min="15365" max="15365" width="11.140625" customWidth="1"/>
    <col min="15617" max="15617" width="6.42578125" customWidth="1"/>
    <col min="15618" max="15618" width="1.5703125" customWidth="1"/>
    <col min="15619" max="15619" width="27.140625" customWidth="1"/>
    <col min="15620" max="15620" width="60.42578125" customWidth="1"/>
    <col min="15621" max="15621" width="11.140625" customWidth="1"/>
    <col min="15873" max="15873" width="6.42578125" customWidth="1"/>
    <col min="15874" max="15874" width="1.5703125" customWidth="1"/>
    <col min="15875" max="15875" width="27.140625" customWidth="1"/>
    <col min="15876" max="15876" width="60.42578125" customWidth="1"/>
    <col min="15877" max="15877" width="11.140625" customWidth="1"/>
    <col min="16129" max="16129" width="6.42578125" customWidth="1"/>
    <col min="16130" max="16130" width="1.5703125" customWidth="1"/>
    <col min="16131" max="16131" width="27.140625" customWidth="1"/>
    <col min="16132" max="16132" width="60.42578125" customWidth="1"/>
    <col min="16133" max="16133" width="11.140625" customWidth="1"/>
  </cols>
  <sheetData>
    <row r="1" spans="1:6" ht="27.75">
      <c r="C1" s="156" t="s">
        <v>61</v>
      </c>
      <c r="D1" s="156"/>
    </row>
    <row r="2" spans="1:6" ht="20.25">
      <c r="C2" s="157" t="s">
        <v>62</v>
      </c>
      <c r="D2" s="157"/>
    </row>
    <row r="4" spans="1:6">
      <c r="A4" s="158" t="s">
        <v>63</v>
      </c>
      <c r="B4" s="158"/>
      <c r="C4" s="158"/>
      <c r="D4" s="158"/>
    </row>
    <row r="5" spans="1:6">
      <c r="A5" s="68" t="s">
        <v>64</v>
      </c>
      <c r="B5" s="69"/>
      <c r="C5" s="70"/>
      <c r="D5" s="71"/>
    </row>
    <row r="6" spans="1:6" ht="29.25" customHeight="1">
      <c r="A6" s="72"/>
      <c r="C6" s="159" t="str">
        <f>'BDI Desonerado (2)'!D6</f>
        <v>Substituição e acréscimo dos abrigos e urbanização do entorno no ponto de ônibus sito a Rua José Marcelino de Camargo, em frente a Rua José Martorano, Centro.</v>
      </c>
      <c r="D6" s="160"/>
    </row>
    <row r="7" spans="1:6">
      <c r="A7" s="73"/>
      <c r="B7" s="74"/>
      <c r="D7" s="75"/>
    </row>
    <row r="8" spans="1:6">
      <c r="A8" s="82" t="s">
        <v>127</v>
      </c>
      <c r="B8" s="83"/>
      <c r="C8" s="84"/>
      <c r="D8" s="85" t="s">
        <v>157</v>
      </c>
    </row>
    <row r="9" spans="1:6">
      <c r="A9" s="87" t="s">
        <v>12</v>
      </c>
      <c r="B9" s="88"/>
      <c r="C9" s="89" t="s">
        <v>65</v>
      </c>
      <c r="D9" s="103"/>
    </row>
    <row r="10" spans="1:6">
      <c r="A10" s="76" t="s">
        <v>13</v>
      </c>
      <c r="B10" s="59"/>
      <c r="C10" s="60" t="s">
        <v>637</v>
      </c>
      <c r="D10" s="77"/>
    </row>
    <row r="11" spans="1:6">
      <c r="A11" s="72"/>
      <c r="C11" s="61" t="s">
        <v>0</v>
      </c>
      <c r="D11" s="78" t="s">
        <v>66</v>
      </c>
    </row>
    <row r="12" spans="1:6">
      <c r="A12" s="72"/>
      <c r="C12" s="62" t="s">
        <v>170</v>
      </c>
      <c r="D12" s="79" t="s">
        <v>751</v>
      </c>
      <c r="E12" s="63">
        <v>2.88</v>
      </c>
      <c r="F12" s="63"/>
    </row>
    <row r="13" spans="1:6">
      <c r="A13" s="72"/>
      <c r="C13" s="62"/>
      <c r="D13" s="79"/>
      <c r="E13" s="63"/>
      <c r="F13" s="63"/>
    </row>
    <row r="14" spans="1:6">
      <c r="A14" s="80"/>
      <c r="B14" s="58"/>
      <c r="C14" s="61" t="s">
        <v>23</v>
      </c>
      <c r="D14" s="81" t="s">
        <v>638</v>
      </c>
      <c r="E14" s="64">
        <v>2.88</v>
      </c>
    </row>
    <row r="15" spans="1:6">
      <c r="A15" s="96"/>
      <c r="B15" s="63"/>
      <c r="C15" s="97"/>
      <c r="D15" s="79"/>
    </row>
    <row r="16" spans="1:6">
      <c r="A16" s="76" t="s">
        <v>67</v>
      </c>
      <c r="B16" s="59"/>
      <c r="C16" s="60" t="s">
        <v>639</v>
      </c>
      <c r="D16" s="77"/>
    </row>
    <row r="17" spans="1:6">
      <c r="A17" s="72"/>
      <c r="C17" s="61" t="s">
        <v>0</v>
      </c>
      <c r="D17" s="78" t="s">
        <v>66</v>
      </c>
    </row>
    <row r="18" spans="1:6">
      <c r="A18" s="72"/>
      <c r="C18" s="98"/>
      <c r="D18" s="99" t="s">
        <v>171</v>
      </c>
    </row>
    <row r="19" spans="1:6">
      <c r="A19" s="72"/>
      <c r="C19" s="62" t="s">
        <v>179</v>
      </c>
      <c r="D19" s="79" t="s">
        <v>752</v>
      </c>
      <c r="E19" s="63">
        <v>276</v>
      </c>
      <c r="F19" s="63"/>
    </row>
    <row r="20" spans="1:6">
      <c r="A20" s="72"/>
      <c r="C20" s="62"/>
      <c r="D20" s="79"/>
      <c r="E20" s="63"/>
      <c r="F20" s="63"/>
    </row>
    <row r="21" spans="1:6">
      <c r="A21" s="80"/>
      <c r="B21" s="58"/>
      <c r="C21" s="61" t="s">
        <v>23</v>
      </c>
      <c r="D21" s="81" t="s">
        <v>640</v>
      </c>
      <c r="E21" s="64">
        <v>276</v>
      </c>
    </row>
    <row r="22" spans="1:6">
      <c r="A22" s="96"/>
      <c r="B22" s="63"/>
      <c r="C22" s="97"/>
      <c r="D22" s="79"/>
    </row>
    <row r="23" spans="1:6">
      <c r="A23" s="76" t="s">
        <v>18</v>
      </c>
      <c r="B23" s="59"/>
      <c r="C23" s="60" t="s">
        <v>641</v>
      </c>
      <c r="D23" s="77"/>
    </row>
    <row r="24" spans="1:6">
      <c r="A24" s="72"/>
      <c r="C24" s="61" t="s">
        <v>0</v>
      </c>
      <c r="D24" s="78" t="s">
        <v>66</v>
      </c>
    </row>
    <row r="25" spans="1:6">
      <c r="A25" s="72"/>
      <c r="C25" s="98"/>
      <c r="D25" s="99" t="s">
        <v>171</v>
      </c>
    </row>
    <row r="26" spans="1:6">
      <c r="A26" s="72"/>
      <c r="C26" s="62" t="s">
        <v>178</v>
      </c>
      <c r="D26" s="79" t="s">
        <v>753</v>
      </c>
      <c r="E26" s="63">
        <v>190.2</v>
      </c>
      <c r="F26" s="63"/>
    </row>
    <row r="27" spans="1:6">
      <c r="A27" s="72"/>
      <c r="C27" s="62"/>
      <c r="D27" s="79"/>
      <c r="E27" s="63"/>
      <c r="F27" s="63"/>
    </row>
    <row r="28" spans="1:6">
      <c r="A28" s="80"/>
      <c r="B28" s="58"/>
      <c r="C28" s="61" t="s">
        <v>23</v>
      </c>
      <c r="D28" s="81" t="s">
        <v>642</v>
      </c>
      <c r="E28" s="64">
        <v>190.2</v>
      </c>
    </row>
    <row r="29" spans="1:6">
      <c r="A29" s="96"/>
      <c r="B29" s="63"/>
      <c r="C29" s="97"/>
      <c r="D29" s="79"/>
    </row>
    <row r="30" spans="1:6">
      <c r="A30" s="76" t="s">
        <v>68</v>
      </c>
      <c r="B30" s="59"/>
      <c r="C30" s="60" t="s">
        <v>643</v>
      </c>
      <c r="D30" s="77"/>
    </row>
    <row r="31" spans="1:6">
      <c r="A31" s="72"/>
      <c r="C31" s="61" t="s">
        <v>0</v>
      </c>
      <c r="D31" s="78" t="s">
        <v>66</v>
      </c>
    </row>
    <row r="32" spans="1:6">
      <c r="A32" s="72"/>
      <c r="C32" s="61"/>
      <c r="D32" s="99" t="s">
        <v>177</v>
      </c>
    </row>
    <row r="33" spans="1:6">
      <c r="A33" s="72"/>
      <c r="C33" s="62" t="s">
        <v>131</v>
      </c>
      <c r="D33" s="79" t="s">
        <v>644</v>
      </c>
      <c r="E33">
        <v>3</v>
      </c>
    </row>
    <row r="34" spans="1:6">
      <c r="A34" s="80"/>
      <c r="B34" s="58"/>
      <c r="C34" s="62"/>
      <c r="D34" s="79"/>
      <c r="F34" s="63"/>
    </row>
    <row r="35" spans="1:6">
      <c r="A35" s="80"/>
      <c r="B35" s="58"/>
      <c r="C35" s="61" t="s">
        <v>23</v>
      </c>
      <c r="D35" s="81" t="s">
        <v>645</v>
      </c>
      <c r="E35" s="64">
        <v>3</v>
      </c>
    </row>
    <row r="36" spans="1:6">
      <c r="A36" s="96"/>
      <c r="B36" s="63"/>
      <c r="C36" s="97"/>
      <c r="D36" s="79"/>
    </row>
    <row r="37" spans="1:6">
      <c r="A37" s="76" t="s">
        <v>69</v>
      </c>
      <c r="B37" s="59"/>
      <c r="C37" s="60" t="s">
        <v>646</v>
      </c>
      <c r="D37" s="77"/>
    </row>
    <row r="38" spans="1:6">
      <c r="A38" s="72"/>
      <c r="C38" s="61" t="s">
        <v>0</v>
      </c>
      <c r="D38" s="78" t="s">
        <v>66</v>
      </c>
    </row>
    <row r="39" spans="1:6">
      <c r="A39" s="72"/>
      <c r="C39" s="98"/>
      <c r="D39" s="99" t="s">
        <v>177</v>
      </c>
    </row>
    <row r="40" spans="1:6">
      <c r="A40" s="72"/>
      <c r="C40" s="62" t="s">
        <v>131</v>
      </c>
      <c r="D40" s="79" t="s">
        <v>647</v>
      </c>
      <c r="E40" s="63">
        <v>366.48</v>
      </c>
      <c r="F40" s="63"/>
    </row>
    <row r="41" spans="1:6">
      <c r="A41" s="72"/>
      <c r="C41" s="62"/>
      <c r="D41" s="79"/>
      <c r="E41" s="63"/>
      <c r="F41" s="63"/>
    </row>
    <row r="42" spans="1:6">
      <c r="A42" s="80"/>
      <c r="B42" s="58"/>
      <c r="C42" s="61" t="s">
        <v>23</v>
      </c>
      <c r="D42" s="81" t="s">
        <v>647</v>
      </c>
      <c r="E42" s="64">
        <v>366.48</v>
      </c>
    </row>
    <row r="43" spans="1:6">
      <c r="A43" s="96"/>
      <c r="B43" s="63"/>
      <c r="C43" s="97"/>
      <c r="D43" s="79"/>
    </row>
    <row r="44" spans="1:6">
      <c r="A44" s="76" t="s">
        <v>70</v>
      </c>
      <c r="B44" s="59"/>
      <c r="C44" s="60" t="s">
        <v>648</v>
      </c>
      <c r="D44" s="77"/>
    </row>
    <row r="45" spans="1:6">
      <c r="A45" s="72"/>
      <c r="C45" s="61" t="s">
        <v>0</v>
      </c>
      <c r="D45" s="78" t="s">
        <v>66</v>
      </c>
    </row>
    <row r="46" spans="1:6">
      <c r="A46" s="72"/>
      <c r="C46" s="61"/>
      <c r="D46" s="99" t="s">
        <v>196</v>
      </c>
    </row>
    <row r="47" spans="1:6">
      <c r="A47" s="72"/>
      <c r="C47" s="62" t="s">
        <v>131</v>
      </c>
      <c r="D47" s="79" t="s">
        <v>649</v>
      </c>
      <c r="E47" s="63">
        <v>72.75</v>
      </c>
      <c r="F47" s="63"/>
    </row>
    <row r="48" spans="1:6">
      <c r="A48" s="80"/>
      <c r="B48" s="58"/>
      <c r="C48" s="62"/>
      <c r="D48" s="79"/>
      <c r="E48" s="63"/>
      <c r="F48" s="63"/>
    </row>
    <row r="49" spans="1:6">
      <c r="A49" s="80"/>
      <c r="B49" s="58"/>
      <c r="C49" s="61" t="s">
        <v>23</v>
      </c>
      <c r="D49" s="81" t="s">
        <v>650</v>
      </c>
      <c r="E49" s="64">
        <v>72.75</v>
      </c>
    </row>
    <row r="50" spans="1:6">
      <c r="A50" s="96"/>
      <c r="B50" s="63"/>
      <c r="C50" s="97"/>
      <c r="D50" s="79"/>
    </row>
    <row r="51" spans="1:6">
      <c r="A51" s="76" t="s">
        <v>71</v>
      </c>
      <c r="B51" s="59"/>
      <c r="C51" s="60" t="s">
        <v>651</v>
      </c>
      <c r="D51" s="77"/>
    </row>
    <row r="52" spans="1:6">
      <c r="A52" s="72"/>
      <c r="C52" s="61" t="s">
        <v>0</v>
      </c>
      <c r="D52" s="78" t="s">
        <v>66</v>
      </c>
    </row>
    <row r="53" spans="1:6">
      <c r="A53" s="72"/>
      <c r="C53" s="61"/>
      <c r="D53" s="99" t="s">
        <v>196</v>
      </c>
    </row>
    <row r="54" spans="1:6">
      <c r="A54" s="72"/>
      <c r="C54" s="62" t="s">
        <v>131</v>
      </c>
      <c r="D54" s="79" t="s">
        <v>652</v>
      </c>
      <c r="E54" s="63">
        <v>9.8500000000000014</v>
      </c>
      <c r="F54" s="63"/>
    </row>
    <row r="55" spans="1:6">
      <c r="A55" s="80"/>
      <c r="B55" s="58"/>
      <c r="C55" s="62"/>
      <c r="D55" s="79"/>
      <c r="E55" s="63"/>
      <c r="F55" s="63"/>
    </row>
    <row r="56" spans="1:6">
      <c r="A56" s="80"/>
      <c r="B56" s="58"/>
      <c r="C56" s="61" t="s">
        <v>23</v>
      </c>
      <c r="D56" s="81" t="s">
        <v>653</v>
      </c>
      <c r="E56" s="64">
        <v>9.8500000000000014</v>
      </c>
    </row>
    <row r="57" spans="1:6">
      <c r="A57" s="96"/>
      <c r="B57" s="63"/>
      <c r="C57" s="97"/>
      <c r="D57" s="79"/>
    </row>
    <row r="58" spans="1:6">
      <c r="A58" s="76" t="s">
        <v>72</v>
      </c>
      <c r="B58" s="59"/>
      <c r="C58" s="60" t="s">
        <v>654</v>
      </c>
      <c r="D58" s="77"/>
    </row>
    <row r="59" spans="1:6">
      <c r="A59" s="72"/>
      <c r="C59" s="61" t="s">
        <v>0</v>
      </c>
      <c r="D59" s="78" t="s">
        <v>66</v>
      </c>
    </row>
    <row r="60" spans="1:6">
      <c r="A60" s="72"/>
      <c r="C60" s="98"/>
      <c r="D60" s="99" t="s">
        <v>171</v>
      </c>
    </row>
    <row r="61" spans="1:6">
      <c r="A61" s="72"/>
      <c r="C61" s="62" t="s">
        <v>131</v>
      </c>
      <c r="D61" s="79" t="s">
        <v>754</v>
      </c>
      <c r="E61" s="63">
        <v>0.40050000000000002</v>
      </c>
      <c r="F61" s="63"/>
    </row>
    <row r="62" spans="1:6">
      <c r="A62" s="72"/>
      <c r="C62" s="62"/>
      <c r="D62" s="79"/>
      <c r="E62" s="63"/>
      <c r="F62" s="63"/>
    </row>
    <row r="63" spans="1:6">
      <c r="A63" s="80"/>
      <c r="B63" s="58"/>
      <c r="C63" s="61" t="s">
        <v>23</v>
      </c>
      <c r="D63" s="81" t="s">
        <v>655</v>
      </c>
      <c r="E63" s="64">
        <v>0.4</v>
      </c>
    </row>
    <row r="64" spans="1:6">
      <c r="A64" s="96"/>
      <c r="B64" s="63"/>
      <c r="C64" s="97"/>
      <c r="D64" s="79"/>
    </row>
    <row r="65" spans="1:6">
      <c r="A65" s="76" t="s">
        <v>73</v>
      </c>
      <c r="B65" s="59"/>
      <c r="C65" s="60" t="s">
        <v>656</v>
      </c>
      <c r="D65" s="77"/>
    </row>
    <row r="66" spans="1:6">
      <c r="A66" s="72"/>
      <c r="C66" s="61" t="s">
        <v>0</v>
      </c>
      <c r="D66" s="78" t="s">
        <v>66</v>
      </c>
    </row>
    <row r="67" spans="1:6">
      <c r="A67" s="72"/>
      <c r="C67" s="61"/>
      <c r="D67" s="99" t="s">
        <v>177</v>
      </c>
    </row>
    <row r="68" spans="1:6">
      <c r="A68" s="72"/>
      <c r="C68" s="62" t="s">
        <v>131</v>
      </c>
      <c r="D68" s="79" t="s">
        <v>657</v>
      </c>
      <c r="E68">
        <v>5</v>
      </c>
    </row>
    <row r="69" spans="1:6">
      <c r="A69" s="80"/>
      <c r="B69" s="58"/>
      <c r="C69" s="62"/>
      <c r="D69" s="79"/>
      <c r="F69" s="63"/>
    </row>
    <row r="70" spans="1:6">
      <c r="A70" s="80"/>
      <c r="B70" s="58"/>
      <c r="C70" s="61" t="s">
        <v>23</v>
      </c>
      <c r="D70" s="81" t="s">
        <v>658</v>
      </c>
      <c r="E70" s="64">
        <v>5</v>
      </c>
    </row>
    <row r="71" spans="1:6">
      <c r="A71" s="80"/>
      <c r="B71" s="58"/>
      <c r="C71" s="58"/>
      <c r="D71" s="75"/>
    </row>
    <row r="72" spans="1:6">
      <c r="A72" s="76" t="s">
        <v>74</v>
      </c>
      <c r="B72" s="59"/>
      <c r="C72" s="60" t="s">
        <v>659</v>
      </c>
      <c r="D72" s="77"/>
    </row>
    <row r="73" spans="1:6">
      <c r="A73" s="72"/>
      <c r="C73" s="61" t="s">
        <v>0</v>
      </c>
      <c r="D73" s="78" t="s">
        <v>66</v>
      </c>
    </row>
    <row r="74" spans="1:6">
      <c r="A74" s="72"/>
      <c r="C74" s="61"/>
      <c r="D74" s="99" t="s">
        <v>177</v>
      </c>
    </row>
    <row r="75" spans="1:6">
      <c r="A75" s="72"/>
      <c r="C75" s="62" t="s">
        <v>106</v>
      </c>
      <c r="D75" s="79" t="s">
        <v>755</v>
      </c>
      <c r="E75">
        <v>0.78800000000000003</v>
      </c>
    </row>
    <row r="76" spans="1:6">
      <c r="A76" s="72"/>
      <c r="C76" s="62" t="s">
        <v>199</v>
      </c>
      <c r="D76" s="79" t="s">
        <v>756</v>
      </c>
      <c r="E76">
        <v>0.96</v>
      </c>
    </row>
    <row r="77" spans="1:6">
      <c r="A77" s="72"/>
      <c r="C77" s="62" t="s">
        <v>129</v>
      </c>
      <c r="D77" s="79" t="s">
        <v>757</v>
      </c>
      <c r="E77">
        <v>46.42848</v>
      </c>
      <c r="F77" s="63"/>
    </row>
    <row r="78" spans="1:6">
      <c r="A78" s="72"/>
      <c r="C78" s="62" t="s">
        <v>190</v>
      </c>
      <c r="D78" s="79" t="s">
        <v>758</v>
      </c>
      <c r="E78">
        <v>33.163200000000003</v>
      </c>
      <c r="F78" s="63"/>
    </row>
    <row r="79" spans="1:6">
      <c r="A79" s="72"/>
      <c r="C79" s="62"/>
      <c r="D79" s="79"/>
    </row>
    <row r="80" spans="1:6">
      <c r="A80" s="80"/>
      <c r="B80" s="58"/>
      <c r="C80" s="61" t="s">
        <v>23</v>
      </c>
      <c r="D80" s="81" t="s">
        <v>660</v>
      </c>
      <c r="E80" s="64">
        <v>81.339680000000001</v>
      </c>
    </row>
    <row r="81" spans="1:6">
      <c r="A81" s="96"/>
      <c r="B81" s="63"/>
      <c r="C81" s="97"/>
      <c r="D81" s="79"/>
    </row>
    <row r="82" spans="1:6">
      <c r="A82" s="76" t="s">
        <v>130</v>
      </c>
      <c r="B82" s="59"/>
      <c r="C82" s="60" t="s">
        <v>661</v>
      </c>
      <c r="D82" s="77"/>
    </row>
    <row r="83" spans="1:6">
      <c r="A83" s="72"/>
      <c r="C83" s="61" t="s">
        <v>0</v>
      </c>
      <c r="D83" s="78" t="s">
        <v>66</v>
      </c>
    </row>
    <row r="84" spans="1:6">
      <c r="A84" s="72"/>
      <c r="C84" s="62" t="s">
        <v>200</v>
      </c>
      <c r="D84" s="79" t="s">
        <v>759</v>
      </c>
      <c r="E84">
        <v>1145</v>
      </c>
    </row>
    <row r="85" spans="1:6">
      <c r="A85" s="72"/>
      <c r="C85" s="62" t="s">
        <v>191</v>
      </c>
      <c r="D85" s="79" t="s">
        <v>760</v>
      </c>
      <c r="E85">
        <v>246.00000000000006</v>
      </c>
      <c r="F85" s="63"/>
    </row>
    <row r="86" spans="1:6">
      <c r="A86" s="72"/>
      <c r="C86" s="62"/>
      <c r="D86" s="79"/>
      <c r="F86" s="63"/>
    </row>
    <row r="87" spans="1:6">
      <c r="A87" s="80"/>
      <c r="B87" s="58"/>
      <c r="C87" s="61" t="s">
        <v>23</v>
      </c>
      <c r="D87" s="81" t="s">
        <v>662</v>
      </c>
      <c r="E87" s="64">
        <v>1391</v>
      </c>
    </row>
    <row r="88" spans="1:6">
      <c r="A88" s="104"/>
      <c r="B88" s="104"/>
      <c r="C88" s="101"/>
      <c r="D88" s="105"/>
      <c r="E88" s="64"/>
    </row>
    <row r="89" spans="1:6">
      <c r="A89" s="76" t="s">
        <v>132</v>
      </c>
      <c r="B89" s="59"/>
      <c r="C89" s="60" t="s">
        <v>663</v>
      </c>
      <c r="D89" s="77"/>
    </row>
    <row r="90" spans="1:6">
      <c r="A90" s="72"/>
      <c r="C90" s="61" t="s">
        <v>0</v>
      </c>
      <c r="D90" s="78" t="s">
        <v>66</v>
      </c>
    </row>
    <row r="91" spans="1:6">
      <c r="A91" s="72"/>
      <c r="C91" s="61"/>
      <c r="D91" s="99" t="s">
        <v>171</v>
      </c>
    </row>
    <row r="92" spans="1:6">
      <c r="A92" s="72"/>
      <c r="C92" s="62" t="s">
        <v>303</v>
      </c>
      <c r="D92" s="79" t="s">
        <v>761</v>
      </c>
      <c r="E92">
        <v>10</v>
      </c>
      <c r="F92" s="63"/>
    </row>
    <row r="93" spans="1:6">
      <c r="A93" s="80"/>
      <c r="B93" s="58"/>
      <c r="C93" s="62"/>
      <c r="D93" s="79"/>
      <c r="F93" s="63"/>
    </row>
    <row r="94" spans="1:6">
      <c r="A94" s="80"/>
      <c r="B94" s="58"/>
      <c r="C94" s="61" t="s">
        <v>23</v>
      </c>
      <c r="D94" s="81" t="s">
        <v>664</v>
      </c>
      <c r="E94" s="64">
        <v>10</v>
      </c>
    </row>
    <row r="95" spans="1:6">
      <c r="A95" s="104"/>
      <c r="B95" s="104"/>
      <c r="C95" s="101"/>
      <c r="D95" s="105"/>
      <c r="E95" s="64"/>
    </row>
    <row r="96" spans="1:6">
      <c r="A96" s="76" t="s">
        <v>136</v>
      </c>
      <c r="B96" s="59"/>
      <c r="C96" s="60" t="s">
        <v>665</v>
      </c>
      <c r="D96" s="77"/>
    </row>
    <row r="97" spans="1:6">
      <c r="A97" s="72"/>
      <c r="C97" s="61" t="s">
        <v>0</v>
      </c>
      <c r="D97" s="78" t="s">
        <v>66</v>
      </c>
    </row>
    <row r="98" spans="1:6">
      <c r="A98" s="72"/>
      <c r="C98" s="61"/>
      <c r="D98" s="99" t="s">
        <v>171</v>
      </c>
    </row>
    <row r="99" spans="1:6">
      <c r="A99" s="72"/>
      <c r="C99" s="62" t="s">
        <v>131</v>
      </c>
      <c r="D99" s="79" t="s">
        <v>666</v>
      </c>
      <c r="E99">
        <v>6</v>
      </c>
    </row>
    <row r="100" spans="1:6">
      <c r="A100" s="80"/>
      <c r="B100" s="58"/>
      <c r="C100" s="62"/>
      <c r="D100" s="79"/>
      <c r="F100" s="63"/>
    </row>
    <row r="101" spans="1:6">
      <c r="A101" s="80"/>
      <c r="B101" s="58"/>
      <c r="C101" s="61" t="s">
        <v>23</v>
      </c>
      <c r="D101" s="81" t="s">
        <v>667</v>
      </c>
      <c r="E101" s="64">
        <v>6</v>
      </c>
    </row>
    <row r="102" spans="1:6">
      <c r="A102" s="104"/>
      <c r="B102" s="104"/>
      <c r="C102" s="101"/>
      <c r="D102" s="105"/>
      <c r="E102" s="64"/>
    </row>
    <row r="103" spans="1:6">
      <c r="A103" s="76" t="s">
        <v>19</v>
      </c>
      <c r="B103" s="59"/>
      <c r="C103" s="60" t="s">
        <v>100</v>
      </c>
      <c r="D103" s="77"/>
      <c r="E103" s="64"/>
    </row>
    <row r="104" spans="1:6">
      <c r="A104" s="76" t="s">
        <v>20</v>
      </c>
      <c r="B104" s="59"/>
      <c r="C104" s="60" t="s">
        <v>668</v>
      </c>
      <c r="D104" s="77"/>
    </row>
    <row r="105" spans="1:6">
      <c r="A105" s="72"/>
      <c r="C105" s="61" t="s">
        <v>0</v>
      </c>
      <c r="D105" s="78" t="s">
        <v>66</v>
      </c>
    </row>
    <row r="106" spans="1:6">
      <c r="A106" s="72"/>
      <c r="C106" s="98"/>
      <c r="D106" s="99" t="s">
        <v>171</v>
      </c>
    </row>
    <row r="107" spans="1:6">
      <c r="A107" s="72"/>
      <c r="C107" s="62" t="s">
        <v>201</v>
      </c>
      <c r="D107" s="79" t="s">
        <v>762</v>
      </c>
      <c r="E107" s="63">
        <v>0.33749999999999997</v>
      </c>
      <c r="F107" s="63"/>
    </row>
    <row r="108" spans="1:6">
      <c r="A108" s="72"/>
      <c r="C108" s="62" t="s">
        <v>202</v>
      </c>
      <c r="D108" s="79" t="s">
        <v>763</v>
      </c>
      <c r="E108" s="63">
        <v>1.2720000000000002</v>
      </c>
      <c r="F108" s="63"/>
    </row>
    <row r="109" spans="1:6">
      <c r="A109" s="72"/>
      <c r="C109" s="62"/>
      <c r="D109" s="79"/>
      <c r="E109" s="63"/>
      <c r="F109" s="63"/>
    </row>
    <row r="110" spans="1:6">
      <c r="A110" s="80"/>
      <c r="B110" s="58"/>
      <c r="C110" s="61" t="s">
        <v>23</v>
      </c>
      <c r="D110" s="81" t="s">
        <v>669</v>
      </c>
      <c r="E110" s="64">
        <v>1.6</v>
      </c>
    </row>
    <row r="111" spans="1:6">
      <c r="A111" s="80"/>
      <c r="B111" s="58"/>
      <c r="C111" s="101"/>
      <c r="D111" s="81"/>
      <c r="E111" s="64"/>
    </row>
    <row r="112" spans="1:6">
      <c r="A112" s="76" t="s">
        <v>21</v>
      </c>
      <c r="B112" s="59"/>
      <c r="C112" s="60" t="s">
        <v>670</v>
      </c>
      <c r="D112" s="77"/>
    </row>
    <row r="113" spans="1:6">
      <c r="A113" s="72"/>
      <c r="C113" s="61" t="s">
        <v>0</v>
      </c>
      <c r="D113" s="78" t="s">
        <v>66</v>
      </c>
    </row>
    <row r="114" spans="1:6">
      <c r="A114" s="72"/>
      <c r="C114" s="98"/>
      <c r="D114" s="99" t="s">
        <v>196</v>
      </c>
    </row>
    <row r="115" spans="1:6">
      <c r="A115" s="72"/>
      <c r="C115" s="62" t="s">
        <v>201</v>
      </c>
      <c r="D115" s="79" t="s">
        <v>764</v>
      </c>
      <c r="E115" s="63">
        <v>2.0625</v>
      </c>
      <c r="F115" s="63"/>
    </row>
    <row r="116" spans="1:6">
      <c r="A116" s="72"/>
      <c r="C116" s="62" t="s">
        <v>202</v>
      </c>
      <c r="D116" s="79" t="s">
        <v>765</v>
      </c>
      <c r="E116" s="63">
        <v>8.4800000000000022</v>
      </c>
      <c r="F116" s="63"/>
    </row>
    <row r="117" spans="1:6">
      <c r="A117" s="72"/>
      <c r="C117" s="62"/>
      <c r="D117" s="79"/>
      <c r="E117" s="63"/>
      <c r="F117" s="63"/>
    </row>
    <row r="118" spans="1:6">
      <c r="A118" s="80"/>
      <c r="B118" s="58"/>
      <c r="C118" s="61" t="s">
        <v>23</v>
      </c>
      <c r="D118" s="81" t="s">
        <v>671</v>
      </c>
      <c r="E118" s="64">
        <v>10.54</v>
      </c>
    </row>
    <row r="119" spans="1:6">
      <c r="A119" s="80"/>
      <c r="B119" s="58"/>
      <c r="C119" s="65"/>
      <c r="D119" s="81"/>
      <c r="E119" s="64"/>
    </row>
    <row r="120" spans="1:6">
      <c r="A120" s="76" t="s">
        <v>75</v>
      </c>
      <c r="B120" s="59"/>
      <c r="C120" s="60" t="s">
        <v>672</v>
      </c>
      <c r="D120" s="77"/>
    </row>
    <row r="121" spans="1:6">
      <c r="A121" s="72"/>
      <c r="C121" s="61" t="s">
        <v>0</v>
      </c>
      <c r="D121" s="78" t="s">
        <v>66</v>
      </c>
    </row>
    <row r="122" spans="1:6">
      <c r="A122" s="72"/>
      <c r="C122" s="61"/>
      <c r="D122" s="99" t="s">
        <v>220</v>
      </c>
    </row>
    <row r="123" spans="1:6">
      <c r="A123" s="72"/>
      <c r="C123" s="62" t="s">
        <v>131</v>
      </c>
      <c r="D123" s="79" t="s">
        <v>673</v>
      </c>
      <c r="E123" s="63">
        <v>10</v>
      </c>
      <c r="F123" s="63"/>
    </row>
    <row r="124" spans="1:6">
      <c r="A124" s="80"/>
      <c r="B124" s="58"/>
      <c r="C124" s="62"/>
      <c r="D124" s="79"/>
      <c r="E124" s="63"/>
      <c r="F124" s="63"/>
    </row>
    <row r="125" spans="1:6">
      <c r="A125" s="80"/>
      <c r="B125" s="58"/>
      <c r="C125" s="61" t="s">
        <v>23</v>
      </c>
      <c r="D125" s="81" t="s">
        <v>674</v>
      </c>
      <c r="E125" s="64">
        <v>10</v>
      </c>
    </row>
    <row r="126" spans="1:6">
      <c r="A126" s="80"/>
      <c r="B126" s="58"/>
      <c r="C126" s="58"/>
      <c r="D126" s="75"/>
    </row>
    <row r="127" spans="1:6">
      <c r="A127" s="76" t="s">
        <v>76</v>
      </c>
      <c r="B127" s="59"/>
      <c r="C127" s="60" t="s">
        <v>675</v>
      </c>
      <c r="D127" s="77"/>
    </row>
    <row r="128" spans="1:6">
      <c r="A128" s="72"/>
      <c r="C128" s="61" t="s">
        <v>0</v>
      </c>
      <c r="D128" s="78" t="s">
        <v>66</v>
      </c>
    </row>
    <row r="129" spans="1:6">
      <c r="A129" s="72"/>
      <c r="C129" s="98"/>
      <c r="D129" s="99" t="s">
        <v>171</v>
      </c>
    </row>
    <row r="130" spans="1:6">
      <c r="A130" s="72"/>
      <c r="C130" s="62" t="s">
        <v>201</v>
      </c>
      <c r="D130" s="79" t="s">
        <v>766</v>
      </c>
      <c r="E130" s="63">
        <v>2.7140624999999998</v>
      </c>
      <c r="F130" s="63"/>
    </row>
    <row r="131" spans="1:6">
      <c r="A131" s="72"/>
      <c r="C131" s="62" t="s">
        <v>202</v>
      </c>
      <c r="D131" s="79" t="s">
        <v>767</v>
      </c>
      <c r="E131" s="63">
        <v>13.085700000000001</v>
      </c>
      <c r="F131" s="63"/>
    </row>
    <row r="132" spans="1:6">
      <c r="A132" s="72"/>
      <c r="C132" s="62"/>
      <c r="D132" s="79"/>
      <c r="E132" s="63"/>
      <c r="F132" s="63"/>
    </row>
    <row r="133" spans="1:6">
      <c r="A133" s="80"/>
      <c r="B133" s="58"/>
      <c r="C133" s="61" t="s">
        <v>23</v>
      </c>
      <c r="D133" s="81" t="s">
        <v>676</v>
      </c>
      <c r="E133" s="64">
        <v>15.79</v>
      </c>
    </row>
    <row r="134" spans="1:6">
      <c r="A134" s="80"/>
      <c r="B134" s="58"/>
      <c r="C134" s="58"/>
      <c r="D134" s="75"/>
    </row>
    <row r="135" spans="1:6">
      <c r="A135" s="76" t="s">
        <v>318</v>
      </c>
      <c r="B135" s="59"/>
      <c r="C135" s="60" t="s">
        <v>319</v>
      </c>
      <c r="D135" s="77"/>
    </row>
    <row r="136" spans="1:6">
      <c r="A136" s="76" t="s">
        <v>320</v>
      </c>
      <c r="B136" s="59"/>
      <c r="C136" s="60" t="s">
        <v>235</v>
      </c>
      <c r="D136" s="77"/>
    </row>
    <row r="137" spans="1:6">
      <c r="A137" s="76" t="s">
        <v>321</v>
      </c>
      <c r="B137" s="59"/>
      <c r="C137" s="60" t="s">
        <v>677</v>
      </c>
      <c r="D137" s="77"/>
    </row>
    <row r="138" spans="1:6">
      <c r="A138" s="72"/>
      <c r="C138" s="61" t="s">
        <v>0</v>
      </c>
      <c r="D138" s="78" t="s">
        <v>66</v>
      </c>
    </row>
    <row r="139" spans="1:6">
      <c r="A139" s="72"/>
      <c r="C139" s="98"/>
      <c r="D139" s="99" t="s">
        <v>171</v>
      </c>
    </row>
    <row r="140" spans="1:6">
      <c r="A140" s="72"/>
      <c r="C140" s="62" t="s">
        <v>236</v>
      </c>
      <c r="D140" s="79" t="s">
        <v>768</v>
      </c>
      <c r="E140" s="63">
        <v>2.3478000000000008</v>
      </c>
      <c r="F140" s="63"/>
    </row>
    <row r="141" spans="1:6">
      <c r="A141" s="72"/>
      <c r="C141" s="62"/>
      <c r="D141" s="79"/>
      <c r="E141" s="63"/>
      <c r="F141" s="63"/>
    </row>
    <row r="142" spans="1:6">
      <c r="A142" s="80"/>
      <c r="B142" s="58"/>
      <c r="C142" s="61" t="s">
        <v>23</v>
      </c>
      <c r="D142" s="81" t="s">
        <v>678</v>
      </c>
      <c r="E142" s="64">
        <v>2.34</v>
      </c>
    </row>
    <row r="143" spans="1:6">
      <c r="A143" s="80"/>
      <c r="B143" s="58"/>
      <c r="C143" s="58"/>
      <c r="D143" s="75"/>
    </row>
    <row r="144" spans="1:6">
      <c r="A144" s="76" t="s">
        <v>322</v>
      </c>
      <c r="B144" s="59"/>
      <c r="C144" s="60" t="s">
        <v>679</v>
      </c>
      <c r="D144" s="77"/>
    </row>
    <row r="145" spans="1:6">
      <c r="A145" s="72"/>
      <c r="C145" s="61" t="s">
        <v>0</v>
      </c>
      <c r="D145" s="78" t="s">
        <v>66</v>
      </c>
    </row>
    <row r="146" spans="1:6">
      <c r="A146" s="72"/>
      <c r="C146" s="61"/>
      <c r="D146" s="99" t="s">
        <v>171</v>
      </c>
    </row>
    <row r="147" spans="1:6">
      <c r="A147" s="72"/>
      <c r="C147" s="62" t="s">
        <v>131</v>
      </c>
      <c r="D147" s="79" t="s">
        <v>769</v>
      </c>
      <c r="E147" s="63">
        <v>12</v>
      </c>
      <c r="F147" s="63"/>
    </row>
    <row r="148" spans="1:6">
      <c r="A148" s="80"/>
      <c r="B148" s="58"/>
      <c r="C148" s="62"/>
      <c r="D148" s="79"/>
      <c r="E148" s="63"/>
      <c r="F148" s="63"/>
    </row>
    <row r="149" spans="1:6">
      <c r="A149" s="80"/>
      <c r="B149" s="58"/>
      <c r="C149" s="61" t="s">
        <v>23</v>
      </c>
      <c r="D149" s="81" t="s">
        <v>680</v>
      </c>
      <c r="E149" s="64">
        <v>12</v>
      </c>
    </row>
    <row r="150" spans="1:6">
      <c r="A150" s="80"/>
      <c r="B150" s="58"/>
      <c r="C150" s="58"/>
      <c r="D150" s="75"/>
    </row>
    <row r="151" spans="1:6">
      <c r="A151" s="76" t="s">
        <v>323</v>
      </c>
      <c r="B151" s="59"/>
      <c r="C151" s="60" t="s">
        <v>668</v>
      </c>
      <c r="D151" s="77"/>
    </row>
    <row r="152" spans="1:6">
      <c r="A152" s="72"/>
      <c r="C152" s="61" t="s">
        <v>0</v>
      </c>
      <c r="D152" s="78" t="s">
        <v>66</v>
      </c>
    </row>
    <row r="153" spans="1:6">
      <c r="A153" s="72"/>
      <c r="C153" s="98"/>
      <c r="D153" s="99" t="s">
        <v>171</v>
      </c>
    </row>
    <row r="154" spans="1:6">
      <c r="A154" s="72"/>
      <c r="C154" s="62" t="s">
        <v>236</v>
      </c>
      <c r="D154" s="79" t="s">
        <v>770</v>
      </c>
      <c r="E154" s="63">
        <v>0.54180000000000006</v>
      </c>
      <c r="F154" s="63"/>
    </row>
    <row r="155" spans="1:6">
      <c r="A155" s="72"/>
      <c r="C155" s="62" t="s">
        <v>237</v>
      </c>
      <c r="D155" s="79" t="s">
        <v>771</v>
      </c>
      <c r="E155" s="63">
        <v>0.126</v>
      </c>
      <c r="F155" s="63"/>
    </row>
    <row r="156" spans="1:6">
      <c r="A156" s="72"/>
      <c r="C156" s="62" t="s">
        <v>238</v>
      </c>
      <c r="D156" s="79" t="s">
        <v>772</v>
      </c>
      <c r="E156" s="63">
        <v>0.21205750411731103</v>
      </c>
      <c r="F156" s="63"/>
    </row>
    <row r="157" spans="1:6">
      <c r="A157" s="72"/>
      <c r="C157" s="62"/>
      <c r="D157" s="79"/>
      <c r="E157" s="63"/>
      <c r="F157" s="63"/>
    </row>
    <row r="158" spans="1:6">
      <c r="A158" s="80"/>
      <c r="B158" s="58"/>
      <c r="C158" s="61" t="s">
        <v>23</v>
      </c>
      <c r="D158" s="81" t="s">
        <v>681</v>
      </c>
      <c r="E158" s="64">
        <v>0.87</v>
      </c>
    </row>
    <row r="159" spans="1:6">
      <c r="A159" s="80"/>
      <c r="B159" s="58"/>
      <c r="C159" s="58"/>
      <c r="D159" s="75"/>
    </row>
    <row r="160" spans="1:6">
      <c r="A160" s="76" t="s">
        <v>324</v>
      </c>
      <c r="B160" s="59"/>
      <c r="C160" s="60" t="s">
        <v>682</v>
      </c>
      <c r="D160" s="77"/>
    </row>
    <row r="161" spans="1:6">
      <c r="A161" s="72"/>
      <c r="C161" s="61" t="s">
        <v>0</v>
      </c>
      <c r="D161" s="78" t="s">
        <v>66</v>
      </c>
    </row>
    <row r="162" spans="1:6">
      <c r="A162" s="72"/>
      <c r="C162" s="98"/>
      <c r="D162" s="99" t="s">
        <v>171</v>
      </c>
    </row>
    <row r="163" spans="1:6">
      <c r="A163" s="72"/>
      <c r="C163" s="62" t="s">
        <v>236</v>
      </c>
      <c r="D163" s="79" t="s">
        <v>773</v>
      </c>
      <c r="E163" s="63">
        <v>1.8060000000000003</v>
      </c>
      <c r="F163" s="63"/>
    </row>
    <row r="164" spans="1:6">
      <c r="A164" s="72"/>
      <c r="C164" s="62"/>
      <c r="D164" s="79"/>
      <c r="E164" s="63"/>
      <c r="F164" s="63"/>
    </row>
    <row r="165" spans="1:6">
      <c r="A165" s="80"/>
      <c r="B165" s="58"/>
      <c r="C165" s="61" t="s">
        <v>23</v>
      </c>
      <c r="D165" s="81" t="s">
        <v>683</v>
      </c>
      <c r="E165" s="64">
        <v>1.8</v>
      </c>
    </row>
    <row r="166" spans="1:6">
      <c r="A166" s="80"/>
      <c r="B166" s="58"/>
      <c r="C166" s="58"/>
      <c r="D166" s="75"/>
    </row>
    <row r="167" spans="1:6">
      <c r="A167" s="76" t="s">
        <v>325</v>
      </c>
      <c r="B167" s="59"/>
      <c r="C167" s="60" t="s">
        <v>684</v>
      </c>
      <c r="D167" s="77"/>
    </row>
    <row r="168" spans="1:6">
      <c r="A168" s="72"/>
      <c r="C168" s="61" t="s">
        <v>0</v>
      </c>
      <c r="D168" s="78" t="s">
        <v>66</v>
      </c>
    </row>
    <row r="169" spans="1:6">
      <c r="A169" s="72"/>
      <c r="C169" s="98"/>
      <c r="D169" s="99" t="s">
        <v>177</v>
      </c>
    </row>
    <row r="170" spans="1:6">
      <c r="A170" s="72"/>
      <c r="C170" s="62" t="s">
        <v>131</v>
      </c>
      <c r="D170" s="79" t="s">
        <v>685</v>
      </c>
      <c r="E170" s="63">
        <v>11.88</v>
      </c>
      <c r="F170" s="63"/>
    </row>
    <row r="171" spans="1:6">
      <c r="A171" s="72"/>
      <c r="C171" s="62"/>
      <c r="D171" s="79"/>
      <c r="E171" s="63"/>
      <c r="F171" s="63"/>
    </row>
    <row r="172" spans="1:6">
      <c r="A172" s="80"/>
      <c r="B172" s="58"/>
      <c r="C172" s="61" t="s">
        <v>23</v>
      </c>
      <c r="D172" s="81" t="s">
        <v>685</v>
      </c>
      <c r="E172" s="64">
        <v>11.88</v>
      </c>
    </row>
    <row r="173" spans="1:6">
      <c r="A173" s="80"/>
      <c r="B173" s="58"/>
      <c r="C173" s="58"/>
      <c r="D173" s="75"/>
    </row>
    <row r="174" spans="1:6">
      <c r="A174" s="76" t="s">
        <v>326</v>
      </c>
      <c r="B174" s="59"/>
      <c r="C174" s="60" t="s">
        <v>686</v>
      </c>
      <c r="D174" s="77"/>
    </row>
    <row r="175" spans="1:6">
      <c r="A175" s="72"/>
      <c r="C175" s="61" t="s">
        <v>0</v>
      </c>
      <c r="D175" s="78" t="s">
        <v>66</v>
      </c>
    </row>
    <row r="176" spans="1:6">
      <c r="A176" s="72"/>
      <c r="C176" s="98"/>
      <c r="D176" s="99" t="s">
        <v>177</v>
      </c>
    </row>
    <row r="177" spans="1:6">
      <c r="A177" s="72"/>
      <c r="C177" s="62" t="s">
        <v>131</v>
      </c>
      <c r="D177" s="79" t="s">
        <v>687</v>
      </c>
      <c r="E177" s="63">
        <v>106.13</v>
      </c>
      <c r="F177" s="63"/>
    </row>
    <row r="178" spans="1:6">
      <c r="A178" s="72"/>
      <c r="C178" s="62"/>
      <c r="D178" s="79"/>
      <c r="E178" s="63"/>
      <c r="F178" s="63"/>
    </row>
    <row r="179" spans="1:6">
      <c r="A179" s="80"/>
      <c r="B179" s="58"/>
      <c r="C179" s="61" t="s">
        <v>23</v>
      </c>
      <c r="D179" s="81" t="s">
        <v>687</v>
      </c>
      <c r="E179" s="64">
        <v>106.13</v>
      </c>
    </row>
    <row r="180" spans="1:6">
      <c r="A180" s="76" t="s">
        <v>327</v>
      </c>
      <c r="B180" s="59"/>
      <c r="C180" s="60" t="s">
        <v>688</v>
      </c>
      <c r="D180" s="77"/>
    </row>
    <row r="181" spans="1:6">
      <c r="A181" s="72"/>
      <c r="C181" s="61" t="s">
        <v>0</v>
      </c>
      <c r="D181" s="78" t="s">
        <v>66</v>
      </c>
    </row>
    <row r="182" spans="1:6">
      <c r="A182" s="72"/>
      <c r="C182" s="98"/>
      <c r="D182" s="99" t="s">
        <v>177</v>
      </c>
    </row>
    <row r="183" spans="1:6">
      <c r="A183" s="72"/>
      <c r="C183" s="62" t="s">
        <v>131</v>
      </c>
      <c r="D183" s="79" t="s">
        <v>689</v>
      </c>
      <c r="E183" s="63">
        <v>96.46</v>
      </c>
      <c r="F183" s="63"/>
    </row>
    <row r="184" spans="1:6">
      <c r="A184" s="72"/>
      <c r="C184" s="62"/>
      <c r="D184" s="79"/>
      <c r="E184" s="63"/>
      <c r="F184" s="63"/>
    </row>
    <row r="185" spans="1:6">
      <c r="A185" s="80"/>
      <c r="B185" s="58"/>
      <c r="C185" s="61" t="s">
        <v>23</v>
      </c>
      <c r="D185" s="81" t="s">
        <v>689</v>
      </c>
      <c r="E185" s="64">
        <v>96.46</v>
      </c>
    </row>
    <row r="186" spans="1:6">
      <c r="A186" s="80"/>
      <c r="B186" s="58"/>
      <c r="C186" s="58"/>
      <c r="D186" s="75"/>
    </row>
    <row r="187" spans="1:6">
      <c r="A187" s="76" t="s">
        <v>328</v>
      </c>
      <c r="B187" s="59"/>
      <c r="C187" s="60" t="s">
        <v>690</v>
      </c>
      <c r="D187" s="77"/>
    </row>
    <row r="188" spans="1:6">
      <c r="A188" s="72"/>
      <c r="C188" s="61" t="s">
        <v>0</v>
      </c>
      <c r="D188" s="78" t="s">
        <v>66</v>
      </c>
    </row>
    <row r="189" spans="1:6">
      <c r="A189" s="72"/>
      <c r="C189" s="98"/>
      <c r="D189" s="99" t="s">
        <v>177</v>
      </c>
    </row>
    <row r="190" spans="1:6">
      <c r="A190" s="72"/>
      <c r="C190" s="62" t="s">
        <v>131</v>
      </c>
      <c r="D190" s="79" t="s">
        <v>691</v>
      </c>
      <c r="E190" s="63">
        <v>316.91000000000003</v>
      </c>
      <c r="F190" s="63"/>
    </row>
    <row r="191" spans="1:6">
      <c r="A191" s="72"/>
      <c r="C191" s="62"/>
      <c r="D191" s="79"/>
      <c r="E191" s="63"/>
      <c r="F191" s="63"/>
    </row>
    <row r="192" spans="1:6">
      <c r="A192" s="80"/>
      <c r="B192" s="58"/>
      <c r="C192" s="61" t="s">
        <v>23</v>
      </c>
      <c r="D192" s="81" t="s">
        <v>691</v>
      </c>
      <c r="E192" s="64">
        <v>316.91000000000003</v>
      </c>
    </row>
    <row r="193" spans="1:6">
      <c r="A193" s="80"/>
      <c r="B193" s="58"/>
      <c r="C193" s="58"/>
      <c r="D193" s="75"/>
    </row>
    <row r="194" spans="1:6">
      <c r="A194" s="76" t="s">
        <v>329</v>
      </c>
      <c r="B194" s="59"/>
      <c r="C194" s="60" t="s">
        <v>692</v>
      </c>
      <c r="D194" s="77"/>
    </row>
    <row r="195" spans="1:6">
      <c r="A195" s="72"/>
      <c r="C195" s="61" t="s">
        <v>0</v>
      </c>
      <c r="D195" s="78" t="s">
        <v>66</v>
      </c>
    </row>
    <row r="196" spans="1:6">
      <c r="A196" s="72"/>
      <c r="C196" s="98"/>
      <c r="D196" s="99" t="s">
        <v>177</v>
      </c>
    </row>
    <row r="197" spans="1:6">
      <c r="A197" s="72"/>
      <c r="C197" s="62" t="s">
        <v>131</v>
      </c>
      <c r="D197" s="79" t="s">
        <v>693</v>
      </c>
      <c r="E197" s="63">
        <v>11.49</v>
      </c>
      <c r="F197" s="63"/>
    </row>
    <row r="198" spans="1:6">
      <c r="A198" s="72"/>
      <c r="C198" s="62"/>
      <c r="D198" s="79"/>
      <c r="E198" s="63"/>
      <c r="F198" s="63"/>
    </row>
    <row r="199" spans="1:6">
      <c r="A199" s="80"/>
      <c r="B199" s="58"/>
      <c r="C199" s="61" t="s">
        <v>23</v>
      </c>
      <c r="D199" s="81" t="s">
        <v>693</v>
      </c>
      <c r="E199" s="64">
        <v>11.49</v>
      </c>
    </row>
    <row r="200" spans="1:6">
      <c r="A200" s="80"/>
      <c r="B200" s="58"/>
      <c r="C200" s="58"/>
      <c r="D200" s="75"/>
    </row>
    <row r="201" spans="1:6">
      <c r="A201" s="76" t="s">
        <v>330</v>
      </c>
      <c r="B201" s="59"/>
      <c r="C201" s="60" t="s">
        <v>694</v>
      </c>
      <c r="D201" s="77"/>
    </row>
    <row r="202" spans="1:6">
      <c r="A202" s="72"/>
      <c r="C202" s="61" t="s">
        <v>0</v>
      </c>
      <c r="D202" s="78" t="s">
        <v>66</v>
      </c>
    </row>
    <row r="203" spans="1:6">
      <c r="A203" s="72"/>
      <c r="C203" s="98"/>
      <c r="D203" s="99" t="s">
        <v>177</v>
      </c>
    </row>
    <row r="204" spans="1:6">
      <c r="A204" s="72"/>
      <c r="C204" s="62" t="s">
        <v>131</v>
      </c>
      <c r="D204" s="79" t="s">
        <v>695</v>
      </c>
      <c r="E204" s="63">
        <v>65.790000000000006</v>
      </c>
      <c r="F204" s="63"/>
    </row>
    <row r="205" spans="1:6">
      <c r="A205" s="72"/>
      <c r="C205" s="62"/>
      <c r="D205" s="79"/>
      <c r="E205" s="63"/>
      <c r="F205" s="63"/>
    </row>
    <row r="206" spans="1:6">
      <c r="A206" s="80"/>
      <c r="B206" s="58"/>
      <c r="C206" s="61" t="s">
        <v>23</v>
      </c>
      <c r="D206" s="81" t="s">
        <v>695</v>
      </c>
      <c r="E206" s="64">
        <v>65.790000000000006</v>
      </c>
    </row>
    <row r="207" spans="1:6">
      <c r="A207" s="80"/>
      <c r="B207" s="58"/>
      <c r="C207" s="58"/>
      <c r="D207" s="75"/>
    </row>
    <row r="208" spans="1:6">
      <c r="A208" s="76" t="s">
        <v>331</v>
      </c>
      <c r="B208" s="59"/>
      <c r="C208" s="60" t="s">
        <v>696</v>
      </c>
      <c r="D208" s="77"/>
    </row>
    <row r="209" spans="1:6">
      <c r="A209" s="72"/>
      <c r="C209" s="61" t="s">
        <v>0</v>
      </c>
      <c r="D209" s="78" t="s">
        <v>66</v>
      </c>
    </row>
    <row r="210" spans="1:6">
      <c r="A210" s="72"/>
      <c r="C210" s="98"/>
      <c r="D210" s="99" t="s">
        <v>177</v>
      </c>
    </row>
    <row r="211" spans="1:6">
      <c r="A211" s="72"/>
      <c r="C211" s="62" t="s">
        <v>131</v>
      </c>
      <c r="D211" s="79" t="s">
        <v>697</v>
      </c>
      <c r="E211" s="63">
        <v>51.54</v>
      </c>
      <c r="F211" s="63"/>
    </row>
    <row r="212" spans="1:6">
      <c r="A212" s="72"/>
      <c r="C212" s="62"/>
      <c r="D212" s="79"/>
      <c r="E212" s="63"/>
      <c r="F212" s="63"/>
    </row>
    <row r="213" spans="1:6">
      <c r="A213" s="80"/>
      <c r="B213" s="58"/>
      <c r="C213" s="61" t="s">
        <v>23</v>
      </c>
      <c r="D213" s="81" t="s">
        <v>697</v>
      </c>
      <c r="E213" s="64">
        <v>51.54</v>
      </c>
    </row>
    <row r="214" spans="1:6">
      <c r="A214" s="80"/>
      <c r="B214" s="58"/>
      <c r="C214" s="58"/>
      <c r="D214" s="75"/>
    </row>
    <row r="215" spans="1:6">
      <c r="A215" s="76" t="s">
        <v>332</v>
      </c>
      <c r="B215" s="59"/>
      <c r="C215" s="60" t="s">
        <v>698</v>
      </c>
      <c r="D215" s="77"/>
    </row>
    <row r="216" spans="1:6">
      <c r="A216" s="72"/>
      <c r="C216" s="61" t="s">
        <v>0</v>
      </c>
      <c r="D216" s="78" t="s">
        <v>66</v>
      </c>
    </row>
    <row r="217" spans="1:6">
      <c r="A217" s="72"/>
      <c r="C217" s="98"/>
      <c r="D217" s="99" t="s">
        <v>177</v>
      </c>
    </row>
    <row r="218" spans="1:6">
      <c r="A218" s="72"/>
      <c r="C218" s="62" t="s">
        <v>131</v>
      </c>
      <c r="D218" s="79" t="s">
        <v>699</v>
      </c>
      <c r="E218" s="63">
        <v>181.5</v>
      </c>
      <c r="F218" s="63"/>
    </row>
    <row r="219" spans="1:6">
      <c r="A219" s="72"/>
      <c r="C219" s="62"/>
      <c r="D219" s="79"/>
      <c r="E219" s="63"/>
      <c r="F219" s="63"/>
    </row>
    <row r="220" spans="1:6">
      <c r="A220" s="80"/>
      <c r="B220" s="58"/>
      <c r="C220" s="61" t="s">
        <v>23</v>
      </c>
      <c r="D220" s="81" t="s">
        <v>700</v>
      </c>
      <c r="E220" s="64">
        <v>181.5</v>
      </c>
    </row>
    <row r="221" spans="1:6">
      <c r="A221" s="80"/>
      <c r="B221" s="58"/>
      <c r="C221" s="58"/>
      <c r="D221" s="75"/>
    </row>
    <row r="222" spans="1:6">
      <c r="A222" s="76" t="s">
        <v>333</v>
      </c>
      <c r="B222" s="59"/>
      <c r="C222" s="60" t="s">
        <v>282</v>
      </c>
      <c r="D222" s="77"/>
    </row>
    <row r="223" spans="1:6">
      <c r="A223" s="80"/>
      <c r="B223" s="58"/>
      <c r="C223" s="58"/>
      <c r="D223" s="75"/>
    </row>
    <row r="224" spans="1:6">
      <c r="A224" s="76" t="s">
        <v>334</v>
      </c>
      <c r="B224" s="59"/>
      <c r="C224" s="60" t="s">
        <v>701</v>
      </c>
      <c r="D224" s="77"/>
    </row>
    <row r="225" spans="1:6">
      <c r="A225" s="72"/>
      <c r="C225" s="61" t="s">
        <v>0</v>
      </c>
      <c r="D225" s="78" t="s">
        <v>66</v>
      </c>
    </row>
    <row r="226" spans="1:6">
      <c r="A226" s="72"/>
      <c r="C226" s="61"/>
      <c r="D226" s="99" t="s">
        <v>177</v>
      </c>
    </row>
    <row r="227" spans="1:6">
      <c r="A227" s="72"/>
      <c r="C227" s="62" t="s">
        <v>131</v>
      </c>
      <c r="D227" s="79" t="s">
        <v>657</v>
      </c>
      <c r="E227">
        <v>5</v>
      </c>
    </row>
    <row r="228" spans="1:6">
      <c r="A228" s="80"/>
      <c r="B228" s="58"/>
      <c r="C228" s="62"/>
      <c r="D228" s="79"/>
      <c r="F228" s="63"/>
    </row>
    <row r="229" spans="1:6">
      <c r="A229" s="80"/>
      <c r="B229" s="58"/>
      <c r="C229" s="61" t="s">
        <v>23</v>
      </c>
      <c r="D229" s="81" t="s">
        <v>658</v>
      </c>
      <c r="E229" s="64">
        <v>5</v>
      </c>
    </row>
    <row r="230" spans="1:6">
      <c r="A230" s="80"/>
      <c r="B230" s="58"/>
      <c r="C230" s="101"/>
      <c r="D230" s="81"/>
      <c r="E230" s="64"/>
    </row>
    <row r="231" spans="1:6">
      <c r="A231" s="76" t="s">
        <v>335</v>
      </c>
      <c r="B231" s="59"/>
      <c r="C231" s="60" t="s">
        <v>702</v>
      </c>
      <c r="D231" s="77"/>
    </row>
    <row r="232" spans="1:6">
      <c r="A232" s="72"/>
      <c r="C232" s="61" t="s">
        <v>0</v>
      </c>
      <c r="D232" s="78" t="s">
        <v>66</v>
      </c>
    </row>
    <row r="233" spans="1:6">
      <c r="A233" s="72"/>
      <c r="C233" s="61"/>
      <c r="D233" s="99" t="s">
        <v>177</v>
      </c>
    </row>
    <row r="234" spans="1:6">
      <c r="A234" s="72"/>
      <c r="C234" s="62" t="s">
        <v>131</v>
      </c>
      <c r="D234" s="79" t="s">
        <v>774</v>
      </c>
      <c r="E234">
        <v>15</v>
      </c>
    </row>
    <row r="235" spans="1:6">
      <c r="A235" s="80"/>
      <c r="B235" s="58"/>
      <c r="C235" s="62"/>
      <c r="D235" s="79"/>
      <c r="F235" s="63"/>
    </row>
    <row r="236" spans="1:6">
      <c r="A236" s="80"/>
      <c r="B236" s="58"/>
      <c r="C236" s="61" t="s">
        <v>23</v>
      </c>
      <c r="D236" s="81" t="s">
        <v>703</v>
      </c>
      <c r="E236" s="64">
        <v>15</v>
      </c>
    </row>
    <row r="237" spans="1:6">
      <c r="A237" s="80"/>
      <c r="B237" s="58"/>
      <c r="C237" s="101"/>
      <c r="D237" s="81"/>
      <c r="E237" s="64"/>
    </row>
    <row r="238" spans="1:6">
      <c r="A238" s="76" t="s">
        <v>337</v>
      </c>
      <c r="B238" s="59"/>
      <c r="C238" s="60" t="s">
        <v>297</v>
      </c>
      <c r="D238" s="77"/>
      <c r="E238" s="64"/>
    </row>
    <row r="239" spans="1:6">
      <c r="A239" s="76" t="s">
        <v>338</v>
      </c>
      <c r="B239" s="59"/>
      <c r="C239" s="60" t="s">
        <v>704</v>
      </c>
      <c r="D239" s="77"/>
    </row>
    <row r="240" spans="1:6">
      <c r="A240" s="72"/>
      <c r="C240" s="61" t="s">
        <v>0</v>
      </c>
      <c r="D240" s="78" t="s">
        <v>66</v>
      </c>
    </row>
    <row r="241" spans="1:6">
      <c r="A241" s="72"/>
      <c r="C241" s="62" t="s">
        <v>303</v>
      </c>
      <c r="D241" s="79" t="s">
        <v>705</v>
      </c>
      <c r="E241">
        <v>2</v>
      </c>
    </row>
    <row r="242" spans="1:6">
      <c r="A242" s="80"/>
      <c r="B242" s="58"/>
      <c r="C242" s="62"/>
      <c r="D242" s="79"/>
      <c r="F242" s="63"/>
    </row>
    <row r="243" spans="1:6">
      <c r="A243" s="80"/>
      <c r="B243" s="58"/>
      <c r="C243" s="61" t="s">
        <v>23</v>
      </c>
      <c r="D243" s="81" t="s">
        <v>706</v>
      </c>
      <c r="E243" s="64">
        <v>2</v>
      </c>
    </row>
    <row r="244" spans="1:6">
      <c r="A244" s="80"/>
      <c r="B244" s="58"/>
      <c r="C244" s="101"/>
      <c r="D244" s="81"/>
      <c r="E244" s="64"/>
    </row>
    <row r="245" spans="1:6">
      <c r="A245" s="76" t="s">
        <v>339</v>
      </c>
      <c r="B245" s="59"/>
      <c r="C245" s="60" t="s">
        <v>707</v>
      </c>
      <c r="D245" s="77"/>
    </row>
    <row r="246" spans="1:6">
      <c r="A246" s="72"/>
      <c r="C246" s="61" t="s">
        <v>0</v>
      </c>
      <c r="D246" s="78" t="s">
        <v>66</v>
      </c>
    </row>
    <row r="247" spans="1:6">
      <c r="A247" s="72"/>
      <c r="C247" s="61"/>
      <c r="D247" s="99" t="s">
        <v>171</v>
      </c>
    </row>
    <row r="248" spans="1:6">
      <c r="A248" s="72"/>
      <c r="C248" s="62" t="s">
        <v>303</v>
      </c>
      <c r="D248" s="79" t="s">
        <v>708</v>
      </c>
      <c r="E248" s="63">
        <v>100</v>
      </c>
      <c r="F248" s="63"/>
    </row>
    <row r="249" spans="1:6">
      <c r="A249" s="80"/>
      <c r="B249" s="58"/>
      <c r="C249" s="62"/>
      <c r="D249" s="79"/>
      <c r="E249" s="63"/>
      <c r="F249" s="63"/>
    </row>
    <row r="250" spans="1:6">
      <c r="A250" s="80"/>
      <c r="B250" s="58"/>
      <c r="C250" s="61" t="s">
        <v>23</v>
      </c>
      <c r="D250" s="81" t="s">
        <v>709</v>
      </c>
      <c r="E250" s="64">
        <v>100</v>
      </c>
    </row>
    <row r="251" spans="1:6">
      <c r="A251" s="80"/>
      <c r="B251" s="58"/>
      <c r="C251" s="101"/>
      <c r="D251" s="81"/>
      <c r="E251" s="64"/>
    </row>
    <row r="252" spans="1:6">
      <c r="A252" s="76" t="s">
        <v>340</v>
      </c>
      <c r="B252" s="59"/>
      <c r="C252" s="60" t="s">
        <v>710</v>
      </c>
      <c r="D252" s="77"/>
    </row>
    <row r="253" spans="1:6">
      <c r="A253" s="72"/>
      <c r="C253" s="61" t="s">
        <v>0</v>
      </c>
      <c r="D253" s="78" t="s">
        <v>66</v>
      </c>
    </row>
    <row r="254" spans="1:6">
      <c r="A254" s="72"/>
      <c r="C254" s="61"/>
      <c r="D254" s="99" t="s">
        <v>171</v>
      </c>
    </row>
    <row r="255" spans="1:6">
      <c r="A255" s="72"/>
      <c r="C255" s="62" t="s">
        <v>303</v>
      </c>
      <c r="D255" s="79" t="s">
        <v>711</v>
      </c>
      <c r="E255" s="63">
        <v>5</v>
      </c>
      <c r="F255" s="63"/>
    </row>
    <row r="256" spans="1:6">
      <c r="A256" s="80"/>
      <c r="B256" s="58"/>
      <c r="C256" s="62"/>
      <c r="D256" s="79"/>
      <c r="E256" s="63"/>
      <c r="F256" s="63"/>
    </row>
    <row r="257" spans="1:6">
      <c r="A257" s="80"/>
      <c r="B257" s="58"/>
      <c r="C257" s="61" t="s">
        <v>23</v>
      </c>
      <c r="D257" s="81" t="s">
        <v>712</v>
      </c>
      <c r="E257" s="64">
        <v>5</v>
      </c>
    </row>
    <row r="258" spans="1:6">
      <c r="A258" s="80"/>
      <c r="B258" s="58"/>
      <c r="C258" s="101"/>
      <c r="D258" s="81"/>
      <c r="E258" s="64"/>
    </row>
    <row r="259" spans="1:6">
      <c r="A259" s="76" t="s">
        <v>341</v>
      </c>
      <c r="B259" s="59"/>
      <c r="C259" s="60" t="s">
        <v>713</v>
      </c>
      <c r="D259" s="77"/>
    </row>
    <row r="260" spans="1:6">
      <c r="A260" s="72"/>
      <c r="C260" s="61" t="s">
        <v>0</v>
      </c>
      <c r="D260" s="78" t="s">
        <v>66</v>
      </c>
    </row>
    <row r="261" spans="1:6">
      <c r="A261" s="72"/>
      <c r="C261" s="61"/>
      <c r="D261" s="99" t="s">
        <v>171</v>
      </c>
    </row>
    <row r="262" spans="1:6">
      <c r="A262" s="72"/>
      <c r="C262" s="62" t="s">
        <v>303</v>
      </c>
      <c r="D262" s="79" t="s">
        <v>775</v>
      </c>
      <c r="E262" s="63">
        <v>241</v>
      </c>
      <c r="F262" s="63"/>
    </row>
    <row r="263" spans="1:6">
      <c r="A263" s="80"/>
      <c r="B263" s="58"/>
      <c r="C263" s="62"/>
      <c r="D263" s="79"/>
      <c r="E263" s="63"/>
      <c r="F263" s="63"/>
    </row>
    <row r="264" spans="1:6">
      <c r="A264" s="80"/>
      <c r="B264" s="58"/>
      <c r="C264" s="61" t="s">
        <v>23</v>
      </c>
      <c r="D264" s="81" t="s">
        <v>714</v>
      </c>
      <c r="E264" s="64">
        <v>241</v>
      </c>
    </row>
    <row r="265" spans="1:6">
      <c r="A265" s="80"/>
      <c r="B265" s="58"/>
      <c r="C265" s="101"/>
      <c r="D265" s="81"/>
      <c r="E265" s="64"/>
    </row>
    <row r="266" spans="1:6">
      <c r="A266" s="76" t="s">
        <v>342</v>
      </c>
      <c r="B266" s="59"/>
      <c r="C266" s="60" t="s">
        <v>715</v>
      </c>
      <c r="D266" s="77"/>
    </row>
    <row r="267" spans="1:6">
      <c r="A267" s="72"/>
      <c r="C267" s="61" t="s">
        <v>0</v>
      </c>
      <c r="D267" s="78" t="s">
        <v>66</v>
      </c>
    </row>
    <row r="268" spans="1:6">
      <c r="A268" s="72"/>
      <c r="C268" s="61"/>
      <c r="D268" s="99" t="s">
        <v>171</v>
      </c>
    </row>
    <row r="269" spans="1:6">
      <c r="A269" s="72"/>
      <c r="C269" s="62" t="s">
        <v>131</v>
      </c>
      <c r="D269" s="79" t="s">
        <v>716</v>
      </c>
      <c r="E269">
        <v>11</v>
      </c>
    </row>
    <row r="270" spans="1:6">
      <c r="A270" s="80"/>
      <c r="B270" s="58"/>
      <c r="C270" s="62"/>
      <c r="D270" s="79"/>
      <c r="F270" s="63"/>
    </row>
    <row r="271" spans="1:6">
      <c r="A271" s="80"/>
      <c r="B271" s="58"/>
      <c r="C271" s="61" t="s">
        <v>23</v>
      </c>
      <c r="D271" s="81" t="s">
        <v>717</v>
      </c>
      <c r="E271" s="64">
        <v>11</v>
      </c>
    </row>
    <row r="272" spans="1:6">
      <c r="A272" s="80"/>
      <c r="B272" s="58"/>
      <c r="C272" s="101"/>
      <c r="D272" s="81"/>
      <c r="E272" s="64"/>
    </row>
    <row r="273" spans="1:6">
      <c r="A273" s="76" t="s">
        <v>344</v>
      </c>
      <c r="B273" s="59"/>
      <c r="C273" s="60" t="s">
        <v>307</v>
      </c>
      <c r="D273" s="77"/>
      <c r="E273" s="64"/>
    </row>
    <row r="274" spans="1:6">
      <c r="A274" s="76" t="s">
        <v>345</v>
      </c>
      <c r="B274" s="59"/>
      <c r="C274" s="60" t="s">
        <v>718</v>
      </c>
      <c r="D274" s="77"/>
    </row>
    <row r="275" spans="1:6">
      <c r="A275" s="72"/>
      <c r="C275" s="61" t="s">
        <v>0</v>
      </c>
      <c r="D275" s="78" t="s">
        <v>66</v>
      </c>
    </row>
    <row r="276" spans="1:6">
      <c r="A276" s="72"/>
      <c r="C276" s="98"/>
      <c r="D276" s="99" t="s">
        <v>177</v>
      </c>
    </row>
    <row r="277" spans="1:6">
      <c r="A277" s="72"/>
      <c r="C277" s="62" t="s">
        <v>201</v>
      </c>
      <c r="D277" s="79" t="s">
        <v>719</v>
      </c>
      <c r="E277" s="63">
        <v>8.93</v>
      </c>
      <c r="F277" s="63"/>
    </row>
    <row r="278" spans="1:6">
      <c r="A278" s="72"/>
      <c r="C278" s="62"/>
      <c r="D278" s="79"/>
      <c r="E278" s="63"/>
      <c r="F278" s="63"/>
    </row>
    <row r="279" spans="1:6">
      <c r="A279" s="80"/>
      <c r="B279" s="58"/>
      <c r="C279" s="61" t="s">
        <v>23</v>
      </c>
      <c r="D279" s="81" t="s">
        <v>720</v>
      </c>
      <c r="E279" s="64">
        <v>8.93</v>
      </c>
    </row>
    <row r="280" spans="1:6">
      <c r="A280" s="80"/>
      <c r="B280" s="58"/>
      <c r="C280" s="101"/>
      <c r="D280" s="81"/>
      <c r="E280" s="64"/>
    </row>
    <row r="281" spans="1:6">
      <c r="A281" s="76" t="s">
        <v>346</v>
      </c>
      <c r="B281" s="59"/>
      <c r="C281" s="60" t="s">
        <v>721</v>
      </c>
      <c r="D281" s="77"/>
    </row>
    <row r="282" spans="1:6">
      <c r="A282" s="76" t="s">
        <v>347</v>
      </c>
      <c r="B282" s="59"/>
      <c r="C282" s="60" t="s">
        <v>722</v>
      </c>
      <c r="D282" s="77"/>
    </row>
    <row r="283" spans="1:6">
      <c r="A283" s="72"/>
      <c r="C283" s="61" t="s">
        <v>0</v>
      </c>
      <c r="D283" s="78" t="s">
        <v>66</v>
      </c>
    </row>
    <row r="284" spans="1:6">
      <c r="A284" s="72"/>
      <c r="C284" s="61"/>
      <c r="D284" s="99" t="s">
        <v>177</v>
      </c>
    </row>
    <row r="285" spans="1:6">
      <c r="A285" s="72"/>
      <c r="C285" s="62" t="s">
        <v>131</v>
      </c>
      <c r="D285" s="79" t="s">
        <v>723</v>
      </c>
      <c r="E285">
        <v>15</v>
      </c>
    </row>
    <row r="286" spans="1:6">
      <c r="A286" s="80"/>
      <c r="B286" s="58"/>
      <c r="C286" s="62"/>
      <c r="D286" s="79"/>
      <c r="F286" s="63"/>
    </row>
    <row r="287" spans="1:6">
      <c r="A287" s="80"/>
      <c r="B287" s="58"/>
      <c r="C287" s="61" t="s">
        <v>23</v>
      </c>
      <c r="D287" s="81" t="s">
        <v>703</v>
      </c>
      <c r="E287" s="64">
        <v>15</v>
      </c>
    </row>
    <row r="288" spans="1:6">
      <c r="A288" s="80"/>
      <c r="B288" s="58"/>
      <c r="C288" s="101"/>
      <c r="D288" s="81"/>
      <c r="E288" s="64"/>
    </row>
    <row r="289" spans="1:6">
      <c r="A289" s="76" t="s">
        <v>348</v>
      </c>
      <c r="B289" s="59"/>
      <c r="C289" s="60" t="s">
        <v>721</v>
      </c>
      <c r="D289" s="77"/>
    </row>
    <row r="290" spans="1:6">
      <c r="A290" s="76" t="s">
        <v>349</v>
      </c>
      <c r="B290" s="59"/>
      <c r="C290" s="60" t="s">
        <v>722</v>
      </c>
      <c r="D290" s="77"/>
    </row>
    <row r="291" spans="1:6">
      <c r="A291" s="72"/>
      <c r="C291" s="61" t="s">
        <v>0</v>
      </c>
      <c r="D291" s="78" t="s">
        <v>66</v>
      </c>
    </row>
    <row r="292" spans="1:6">
      <c r="A292" s="72"/>
      <c r="C292" s="61"/>
      <c r="D292" s="99" t="s">
        <v>177</v>
      </c>
    </row>
    <row r="293" spans="1:6">
      <c r="A293" s="72"/>
      <c r="C293" s="62" t="s">
        <v>131</v>
      </c>
      <c r="D293" s="79" t="s">
        <v>724</v>
      </c>
      <c r="E293">
        <v>20</v>
      </c>
    </row>
    <row r="294" spans="1:6">
      <c r="A294" s="80"/>
      <c r="B294" s="58"/>
      <c r="C294" s="62"/>
      <c r="D294" s="79"/>
      <c r="F294" s="63"/>
    </row>
    <row r="295" spans="1:6">
      <c r="A295" s="80"/>
      <c r="B295" s="58"/>
      <c r="C295" s="61" t="s">
        <v>23</v>
      </c>
      <c r="D295" s="81" t="s">
        <v>725</v>
      </c>
      <c r="E295" s="64">
        <v>20</v>
      </c>
    </row>
    <row r="296" spans="1:6">
      <c r="A296" s="80"/>
      <c r="B296" s="58"/>
      <c r="C296" s="101"/>
      <c r="D296" s="81"/>
      <c r="E296" s="64"/>
    </row>
    <row r="297" spans="1:6">
      <c r="A297" s="76" t="s">
        <v>356</v>
      </c>
      <c r="B297" s="59"/>
      <c r="C297" s="60" t="s">
        <v>191</v>
      </c>
      <c r="D297" s="77"/>
      <c r="E297" s="64">
        <v>7</v>
      </c>
    </row>
    <row r="298" spans="1:6">
      <c r="A298" s="76" t="s">
        <v>357</v>
      </c>
      <c r="B298" s="59"/>
      <c r="C298" s="60" t="s">
        <v>360</v>
      </c>
      <c r="D298" s="77"/>
      <c r="E298" s="64"/>
    </row>
    <row r="299" spans="1:6">
      <c r="A299" s="107"/>
      <c r="B299" s="107"/>
      <c r="C299" s="104"/>
      <c r="D299" s="108"/>
      <c r="E299" s="64"/>
    </row>
    <row r="300" spans="1:6">
      <c r="A300" s="76" t="s">
        <v>363</v>
      </c>
      <c r="B300" s="59"/>
      <c r="C300" s="60" t="s">
        <v>726</v>
      </c>
      <c r="D300" s="77"/>
    </row>
    <row r="301" spans="1:6">
      <c r="A301" s="72"/>
      <c r="C301" s="61" t="s">
        <v>0</v>
      </c>
      <c r="D301" s="78" t="s">
        <v>66</v>
      </c>
    </row>
    <row r="302" spans="1:6">
      <c r="A302" s="72"/>
      <c r="C302" s="61"/>
      <c r="D302" s="99" t="s">
        <v>171</v>
      </c>
    </row>
    <row r="303" spans="1:6">
      <c r="A303" s="72"/>
      <c r="C303" s="62" t="s">
        <v>131</v>
      </c>
      <c r="D303" s="79" t="s">
        <v>727</v>
      </c>
      <c r="E303" s="63">
        <v>42</v>
      </c>
      <c r="F303" s="63"/>
    </row>
    <row r="304" spans="1:6">
      <c r="A304" s="80"/>
      <c r="B304" s="58"/>
      <c r="C304" s="62"/>
      <c r="D304" s="79"/>
      <c r="E304" s="63"/>
      <c r="F304" s="63"/>
    </row>
    <row r="305" spans="1:6">
      <c r="A305" s="80"/>
      <c r="B305" s="58"/>
      <c r="C305" s="61" t="s">
        <v>23</v>
      </c>
      <c r="D305" s="81" t="s">
        <v>728</v>
      </c>
      <c r="E305" s="64">
        <v>42</v>
      </c>
    </row>
    <row r="306" spans="1:6">
      <c r="A306" s="80"/>
      <c r="B306" s="58"/>
      <c r="C306" s="101"/>
      <c r="D306" s="81"/>
      <c r="E306" s="64"/>
    </row>
    <row r="307" spans="1:6">
      <c r="A307" s="76" t="s">
        <v>364</v>
      </c>
      <c r="B307" s="59"/>
      <c r="C307" s="60" t="s">
        <v>677</v>
      </c>
      <c r="D307" s="77"/>
    </row>
    <row r="308" spans="1:6">
      <c r="A308" s="72"/>
      <c r="C308" s="61" t="s">
        <v>0</v>
      </c>
      <c r="D308" s="78" t="s">
        <v>66</v>
      </c>
    </row>
    <row r="309" spans="1:6">
      <c r="A309" s="72"/>
      <c r="C309" s="98"/>
      <c r="D309" s="99" t="s">
        <v>177</v>
      </c>
    </row>
    <row r="310" spans="1:6">
      <c r="A310" s="72"/>
      <c r="C310" s="62" t="s">
        <v>131</v>
      </c>
      <c r="D310" s="79" t="s">
        <v>776</v>
      </c>
      <c r="E310" s="63">
        <v>42</v>
      </c>
      <c r="F310" s="63"/>
    </row>
    <row r="311" spans="1:6">
      <c r="A311" s="72"/>
      <c r="C311" s="62"/>
      <c r="D311" s="79"/>
      <c r="E311" s="63"/>
      <c r="F311" s="63"/>
    </row>
    <row r="312" spans="1:6">
      <c r="A312" s="80"/>
      <c r="B312" s="58"/>
      <c r="C312" s="61" t="s">
        <v>23</v>
      </c>
      <c r="D312" s="81" t="s">
        <v>729</v>
      </c>
      <c r="E312" s="64">
        <v>42</v>
      </c>
    </row>
    <row r="313" spans="1:6">
      <c r="A313" s="80"/>
      <c r="B313" s="58"/>
      <c r="C313" s="101"/>
      <c r="D313" s="81"/>
      <c r="E313" s="64"/>
    </row>
    <row r="314" spans="1:6">
      <c r="A314" s="76" t="s">
        <v>365</v>
      </c>
      <c r="B314" s="59"/>
      <c r="C314" s="60" t="s">
        <v>730</v>
      </c>
      <c r="D314" s="77"/>
    </row>
    <row r="315" spans="1:6">
      <c r="A315" s="72"/>
      <c r="C315" s="61" t="s">
        <v>0</v>
      </c>
      <c r="D315" s="78" t="s">
        <v>66</v>
      </c>
    </row>
    <row r="316" spans="1:6">
      <c r="A316" s="72"/>
      <c r="C316" s="98"/>
      <c r="D316" s="99" t="s">
        <v>177</v>
      </c>
    </row>
    <row r="317" spans="1:6">
      <c r="A317" s="72"/>
      <c r="C317" s="62" t="s">
        <v>131</v>
      </c>
      <c r="D317" s="79" t="s">
        <v>777</v>
      </c>
      <c r="E317" s="63">
        <v>2.1916666666666669</v>
      </c>
      <c r="F317" s="63"/>
    </row>
    <row r="318" spans="1:6">
      <c r="A318" s="72"/>
      <c r="C318" s="62"/>
      <c r="D318" s="79"/>
      <c r="E318" s="63"/>
      <c r="F318" s="63"/>
    </row>
    <row r="319" spans="1:6">
      <c r="A319" s="80"/>
      <c r="B319" s="58"/>
      <c r="C319" s="61" t="s">
        <v>23</v>
      </c>
      <c r="D319" s="81" t="s">
        <v>731</v>
      </c>
      <c r="E319" s="64">
        <v>2.19</v>
      </c>
    </row>
    <row r="320" spans="1:6">
      <c r="A320" s="80"/>
      <c r="B320" s="58"/>
      <c r="C320" s="101"/>
      <c r="D320" s="81"/>
      <c r="E320" s="64"/>
    </row>
    <row r="321" spans="1:6">
      <c r="A321" s="76" t="s">
        <v>366</v>
      </c>
      <c r="B321" s="59"/>
      <c r="C321" s="60" t="s">
        <v>732</v>
      </c>
      <c r="D321" s="77"/>
    </row>
    <row r="322" spans="1:6">
      <c r="A322" s="72"/>
      <c r="C322" s="61" t="s">
        <v>0</v>
      </c>
      <c r="D322" s="78" t="s">
        <v>66</v>
      </c>
    </row>
    <row r="323" spans="1:6">
      <c r="A323" s="72"/>
      <c r="C323" s="98"/>
      <c r="D323" s="99" t="s">
        <v>177</v>
      </c>
    </row>
    <row r="324" spans="1:6">
      <c r="A324" s="72"/>
      <c r="C324" s="62" t="s">
        <v>131</v>
      </c>
      <c r="D324" s="79" t="s">
        <v>733</v>
      </c>
      <c r="E324" s="63">
        <v>6.6</v>
      </c>
      <c r="F324" s="63"/>
    </row>
    <row r="325" spans="1:6">
      <c r="A325" s="72"/>
      <c r="C325" s="62"/>
      <c r="D325" s="79"/>
      <c r="E325" s="63"/>
      <c r="F325" s="63"/>
    </row>
    <row r="326" spans="1:6">
      <c r="A326" s="80"/>
      <c r="B326" s="58"/>
      <c r="C326" s="61" t="s">
        <v>23</v>
      </c>
      <c r="D326" s="81" t="s">
        <v>734</v>
      </c>
      <c r="E326" s="64">
        <v>6.6</v>
      </c>
    </row>
    <row r="327" spans="1:6">
      <c r="A327" s="80"/>
      <c r="B327" s="58"/>
      <c r="C327" s="101"/>
      <c r="D327" s="81"/>
      <c r="E327" s="64"/>
    </row>
    <row r="328" spans="1:6">
      <c r="A328" s="76" t="s">
        <v>367</v>
      </c>
      <c r="B328" s="59"/>
      <c r="C328" s="60" t="s">
        <v>735</v>
      </c>
      <c r="D328" s="77"/>
    </row>
    <row r="329" spans="1:6">
      <c r="A329" s="72"/>
      <c r="C329" s="61" t="s">
        <v>0</v>
      </c>
      <c r="D329" s="78" t="s">
        <v>66</v>
      </c>
    </row>
    <row r="330" spans="1:6">
      <c r="A330" s="72"/>
      <c r="C330" s="98"/>
      <c r="D330" s="99" t="s">
        <v>177</v>
      </c>
    </row>
    <row r="331" spans="1:6">
      <c r="A331" s="72"/>
      <c r="C331" s="62" t="s">
        <v>131</v>
      </c>
      <c r="D331" s="79" t="s">
        <v>736</v>
      </c>
      <c r="E331" s="63">
        <v>0.5</v>
      </c>
      <c r="F331" s="63"/>
    </row>
    <row r="332" spans="1:6">
      <c r="A332" s="72"/>
      <c r="C332" s="62"/>
      <c r="D332" s="79"/>
      <c r="E332" s="63"/>
      <c r="F332" s="63"/>
    </row>
    <row r="333" spans="1:6">
      <c r="A333" s="80"/>
      <c r="B333" s="58"/>
      <c r="C333" s="61" t="s">
        <v>23</v>
      </c>
      <c r="D333" s="81" t="s">
        <v>737</v>
      </c>
      <c r="E333" s="64">
        <v>0.5</v>
      </c>
    </row>
    <row r="334" spans="1:6">
      <c r="A334" s="80"/>
      <c r="B334" s="58"/>
      <c r="C334" s="101"/>
      <c r="D334" s="81"/>
      <c r="E334" s="64"/>
    </row>
    <row r="335" spans="1:6">
      <c r="A335" s="76" t="s">
        <v>374</v>
      </c>
      <c r="B335" s="59"/>
      <c r="C335" s="60" t="s">
        <v>735</v>
      </c>
      <c r="D335" s="77"/>
    </row>
    <row r="336" spans="1:6">
      <c r="A336" s="72"/>
      <c r="C336" s="61" t="s">
        <v>0</v>
      </c>
      <c r="D336" s="78" t="s">
        <v>66</v>
      </c>
    </row>
    <row r="337" spans="1:6">
      <c r="A337" s="72"/>
      <c r="C337" s="98"/>
      <c r="D337" s="99" t="s">
        <v>177</v>
      </c>
    </row>
    <row r="338" spans="1:6">
      <c r="A338" s="72"/>
      <c r="C338" s="62" t="s">
        <v>131</v>
      </c>
      <c r="D338" s="79" t="s">
        <v>738</v>
      </c>
      <c r="E338" s="63">
        <v>9.02</v>
      </c>
      <c r="F338" s="63"/>
    </row>
    <row r="339" spans="1:6">
      <c r="A339" s="72"/>
      <c r="C339" s="62"/>
      <c r="D339" s="79"/>
      <c r="E339" s="63"/>
      <c r="F339" s="63"/>
    </row>
    <row r="340" spans="1:6">
      <c r="A340" s="80"/>
      <c r="B340" s="58"/>
      <c r="C340" s="61" t="s">
        <v>23</v>
      </c>
      <c r="D340" s="81" t="s">
        <v>738</v>
      </c>
      <c r="E340" s="64">
        <v>9.02</v>
      </c>
    </row>
    <row r="341" spans="1:6">
      <c r="A341" s="80"/>
      <c r="B341" s="58"/>
      <c r="C341" s="101"/>
      <c r="D341" s="81"/>
      <c r="E341" s="64"/>
    </row>
    <row r="342" spans="1:6">
      <c r="A342" s="76" t="s">
        <v>375</v>
      </c>
      <c r="B342" s="59"/>
      <c r="C342" s="60" t="s">
        <v>739</v>
      </c>
      <c r="D342" s="77"/>
    </row>
    <row r="343" spans="1:6">
      <c r="A343" s="76" t="s">
        <v>376</v>
      </c>
      <c r="B343" s="59"/>
      <c r="C343" s="60" t="s">
        <v>740</v>
      </c>
      <c r="D343" s="77"/>
    </row>
    <row r="344" spans="1:6">
      <c r="A344" s="72"/>
      <c r="C344" s="61" t="s">
        <v>0</v>
      </c>
      <c r="D344" s="78" t="s">
        <v>66</v>
      </c>
    </row>
    <row r="345" spans="1:6">
      <c r="A345" s="72"/>
      <c r="C345" s="98"/>
      <c r="D345" s="99" t="s">
        <v>177</v>
      </c>
    </row>
    <row r="346" spans="1:6">
      <c r="A346" s="72"/>
      <c r="C346" s="62" t="s">
        <v>131</v>
      </c>
      <c r="D346" s="79" t="s">
        <v>741</v>
      </c>
      <c r="E346" s="63">
        <v>9.52</v>
      </c>
      <c r="F346" s="63"/>
    </row>
    <row r="347" spans="1:6">
      <c r="A347" s="72"/>
      <c r="C347" s="62"/>
      <c r="D347" s="79"/>
      <c r="E347" s="63"/>
      <c r="F347" s="63"/>
    </row>
    <row r="348" spans="1:6">
      <c r="A348" s="80"/>
      <c r="B348" s="58"/>
      <c r="C348" s="61" t="s">
        <v>23</v>
      </c>
      <c r="D348" s="81" t="s">
        <v>741</v>
      </c>
      <c r="E348" s="64">
        <v>9.52</v>
      </c>
    </row>
    <row r="349" spans="1:6">
      <c r="A349" s="80"/>
      <c r="B349" s="58"/>
      <c r="C349" s="101"/>
      <c r="D349" s="81"/>
      <c r="E349" s="64"/>
    </row>
    <row r="350" spans="1:6">
      <c r="A350" s="76" t="s">
        <v>381</v>
      </c>
      <c r="B350" s="59"/>
      <c r="C350" s="60" t="s">
        <v>742</v>
      </c>
      <c r="D350" s="77"/>
    </row>
    <row r="351" spans="1:6">
      <c r="A351" s="76" t="s">
        <v>390</v>
      </c>
      <c r="B351" s="59"/>
      <c r="C351" s="60" t="s">
        <v>743</v>
      </c>
      <c r="D351" s="77"/>
    </row>
    <row r="352" spans="1:6">
      <c r="A352" s="72"/>
      <c r="C352" s="61" t="s">
        <v>0</v>
      </c>
      <c r="D352" s="78" t="s">
        <v>66</v>
      </c>
    </row>
    <row r="353" spans="1:6">
      <c r="A353" s="72"/>
      <c r="C353" s="98"/>
      <c r="D353" s="99" t="s">
        <v>177</v>
      </c>
    </row>
    <row r="354" spans="1:6">
      <c r="A354" s="72"/>
      <c r="C354" s="62" t="s">
        <v>131</v>
      </c>
      <c r="D354" s="79" t="s">
        <v>778</v>
      </c>
      <c r="E354" s="63">
        <v>87.22</v>
      </c>
      <c r="F354" s="63"/>
    </row>
    <row r="355" spans="1:6">
      <c r="A355" s="72"/>
      <c r="C355" s="62"/>
      <c r="D355" s="79"/>
      <c r="E355" s="63"/>
      <c r="F355" s="63"/>
    </row>
    <row r="356" spans="1:6">
      <c r="A356" s="80"/>
      <c r="B356" s="58"/>
      <c r="C356" s="61" t="s">
        <v>23</v>
      </c>
      <c r="D356" s="81" t="s">
        <v>744</v>
      </c>
      <c r="E356" s="64">
        <v>87.22</v>
      </c>
    </row>
    <row r="357" spans="1:6">
      <c r="A357" s="80"/>
      <c r="B357" s="58"/>
      <c r="C357" s="101"/>
      <c r="D357" s="81"/>
      <c r="E357" s="64"/>
    </row>
    <row r="358" spans="1:6">
      <c r="A358" s="76" t="s">
        <v>391</v>
      </c>
      <c r="B358" s="59"/>
      <c r="C358" s="60" t="s">
        <v>742</v>
      </c>
      <c r="D358" s="77"/>
    </row>
    <row r="359" spans="1:6">
      <c r="A359" s="76" t="s">
        <v>392</v>
      </c>
      <c r="B359" s="59"/>
      <c r="C359" s="60" t="s">
        <v>743</v>
      </c>
      <c r="D359" s="77"/>
    </row>
    <row r="360" spans="1:6">
      <c r="A360" s="72"/>
      <c r="C360" s="61" t="s">
        <v>0</v>
      </c>
      <c r="D360" s="78" t="s">
        <v>66</v>
      </c>
    </row>
    <row r="361" spans="1:6">
      <c r="A361" s="72"/>
      <c r="C361" s="98"/>
      <c r="D361" s="99" t="s">
        <v>177</v>
      </c>
    </row>
    <row r="362" spans="1:6">
      <c r="A362" s="72"/>
      <c r="C362" s="62" t="s">
        <v>131</v>
      </c>
      <c r="D362" s="79" t="s">
        <v>779</v>
      </c>
      <c r="E362" s="63">
        <v>474.31999999999994</v>
      </c>
      <c r="F362" s="63"/>
    </row>
    <row r="363" spans="1:6">
      <c r="A363" s="72"/>
      <c r="C363" s="62"/>
      <c r="D363" s="79"/>
      <c r="E363" s="63"/>
      <c r="F363" s="63"/>
    </row>
    <row r="364" spans="1:6">
      <c r="A364" s="80"/>
      <c r="B364" s="58"/>
      <c r="C364" s="61" t="s">
        <v>23</v>
      </c>
      <c r="D364" s="81" t="s">
        <v>745</v>
      </c>
      <c r="E364" s="64">
        <v>474.32</v>
      </c>
    </row>
    <row r="365" spans="1:6">
      <c r="A365" s="80"/>
      <c r="B365" s="58"/>
      <c r="C365" s="101"/>
      <c r="D365" s="81"/>
      <c r="E365" s="64"/>
    </row>
    <row r="366" spans="1:6">
      <c r="A366" s="76" t="s">
        <v>393</v>
      </c>
      <c r="B366" s="59"/>
      <c r="C366" s="60" t="s">
        <v>746</v>
      </c>
      <c r="D366" s="77"/>
    </row>
    <row r="367" spans="1:6">
      <c r="A367" s="72"/>
      <c r="C367" s="61" t="s">
        <v>0</v>
      </c>
      <c r="D367" s="78" t="s">
        <v>66</v>
      </c>
    </row>
    <row r="368" spans="1:6">
      <c r="A368" s="72"/>
      <c r="C368" s="61"/>
      <c r="D368" s="99" t="s">
        <v>177</v>
      </c>
    </row>
    <row r="369" spans="1:6">
      <c r="A369" s="72"/>
      <c r="C369" s="62" t="s">
        <v>131</v>
      </c>
      <c r="D369" s="79" t="s">
        <v>780</v>
      </c>
      <c r="E369">
        <v>112</v>
      </c>
    </row>
    <row r="370" spans="1:6">
      <c r="A370" s="80"/>
      <c r="B370" s="58"/>
      <c r="C370" s="62"/>
      <c r="D370" s="79"/>
      <c r="F370" s="63"/>
    </row>
    <row r="371" spans="1:6">
      <c r="A371" s="80"/>
      <c r="B371" s="58"/>
      <c r="C371" s="61" t="s">
        <v>23</v>
      </c>
      <c r="D371" s="81" t="s">
        <v>747</v>
      </c>
      <c r="E371" s="64">
        <v>112</v>
      </c>
    </row>
    <row r="372" spans="1:6">
      <c r="A372" s="80"/>
      <c r="B372" s="58"/>
      <c r="C372" s="101"/>
      <c r="D372" s="81"/>
      <c r="E372" s="64"/>
    </row>
    <row r="373" spans="1:6">
      <c r="A373" s="76" t="s">
        <v>442</v>
      </c>
      <c r="B373" s="59"/>
      <c r="C373" s="60" t="s">
        <v>748</v>
      </c>
      <c r="D373" s="77"/>
    </row>
    <row r="374" spans="1:6">
      <c r="A374" s="72"/>
      <c r="C374" s="61" t="s">
        <v>0</v>
      </c>
      <c r="D374" s="78" t="s">
        <v>66</v>
      </c>
    </row>
    <row r="375" spans="1:6">
      <c r="A375" s="72"/>
      <c r="C375" s="61"/>
      <c r="D375" s="99" t="s">
        <v>177</v>
      </c>
    </row>
    <row r="376" spans="1:6">
      <c r="A376" s="72"/>
      <c r="C376" s="62" t="s">
        <v>131</v>
      </c>
      <c r="D376" s="79" t="s">
        <v>749</v>
      </c>
      <c r="E376">
        <v>1</v>
      </c>
    </row>
    <row r="377" spans="1:6">
      <c r="A377" s="80"/>
      <c r="B377" s="58"/>
      <c r="C377" s="62"/>
      <c r="D377" s="79"/>
      <c r="F377" s="63"/>
    </row>
    <row r="378" spans="1:6">
      <c r="A378" s="80"/>
      <c r="B378" s="58"/>
      <c r="C378" s="61" t="s">
        <v>23</v>
      </c>
      <c r="D378" s="81" t="s">
        <v>750</v>
      </c>
      <c r="E378" s="64">
        <v>1</v>
      </c>
    </row>
    <row r="379" spans="1:6">
      <c r="A379" s="80"/>
      <c r="B379" s="58"/>
      <c r="C379" s="101"/>
      <c r="D379" s="81"/>
      <c r="E379" s="64"/>
    </row>
    <row r="380" spans="1:6">
      <c r="A380" s="76" t="s">
        <v>444</v>
      </c>
      <c r="B380" s="59"/>
      <c r="C380" s="60" t="s">
        <v>748</v>
      </c>
      <c r="D380" s="77"/>
    </row>
    <row r="381" spans="1:6">
      <c r="A381" s="72"/>
      <c r="C381" s="61" t="s">
        <v>0</v>
      </c>
      <c r="D381" s="78" t="s">
        <v>66</v>
      </c>
    </row>
    <row r="382" spans="1:6">
      <c r="A382" s="72"/>
      <c r="C382" s="61"/>
      <c r="D382" s="99" t="s">
        <v>177</v>
      </c>
    </row>
    <row r="383" spans="1:6">
      <c r="A383" s="72"/>
      <c r="C383" s="62" t="s">
        <v>131</v>
      </c>
      <c r="D383" s="79" t="s">
        <v>666</v>
      </c>
      <c r="E383">
        <v>6</v>
      </c>
    </row>
    <row r="384" spans="1:6">
      <c r="A384" s="80"/>
      <c r="B384" s="58"/>
      <c r="C384" s="62"/>
      <c r="D384" s="79"/>
      <c r="F384" s="63"/>
    </row>
    <row r="385" spans="1:5">
      <c r="A385" s="80"/>
      <c r="B385" s="58"/>
      <c r="C385" s="61" t="s">
        <v>23</v>
      </c>
      <c r="D385" s="81" t="s">
        <v>667</v>
      </c>
      <c r="E385" s="64">
        <v>6</v>
      </c>
    </row>
    <row r="386" spans="1:5">
      <c r="A386" s="80"/>
      <c r="B386" s="58"/>
      <c r="C386" s="101"/>
      <c r="D386" s="81"/>
      <c r="E386" s="64"/>
    </row>
    <row r="387" spans="1:5">
      <c r="A387" s="58"/>
      <c r="B387" s="58"/>
      <c r="C387" s="58"/>
    </row>
    <row r="388" spans="1:5">
      <c r="A388" s="58"/>
      <c r="B388" s="58"/>
      <c r="C388" s="58"/>
    </row>
  </sheetData>
  <mergeCells count="4">
    <mergeCell ref="C1:D1"/>
    <mergeCell ref="C2:D2"/>
    <mergeCell ref="A4:D4"/>
    <mergeCell ref="C6:D6"/>
  </mergeCells>
  <printOptions horizontalCentered="1"/>
  <pageMargins left="0.51181102362204722" right="0.39370078740157483" top="0.39370078740157483" bottom="0.59055118110236227" header="0" footer="0.31496062992125984"/>
  <pageSetup paperSize="9" orientation="landscape" horizontalDpi="300" verticalDpi="300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7"/>
  <sheetViews>
    <sheetView view="pageBreakPreview" topLeftCell="A434" zoomScale="85" zoomScaleNormal="100" zoomScaleSheetLayoutView="85" workbookViewId="0">
      <selection activeCell="B440" sqref="B440"/>
    </sheetView>
  </sheetViews>
  <sheetFormatPr defaultColWidth="11.42578125" defaultRowHeight="12.75"/>
  <cols>
    <col min="1" max="1" width="5.85546875" style="1" customWidth="1"/>
    <col min="2" max="2" width="13.42578125" style="1" customWidth="1"/>
    <col min="3" max="3" width="40.85546875" style="1" customWidth="1"/>
    <col min="4" max="4" width="6.42578125" style="1" customWidth="1"/>
    <col min="5" max="5" width="9.5703125" style="1" customWidth="1"/>
    <col min="6" max="6" width="11.42578125" style="1" customWidth="1"/>
    <col min="7" max="7" width="11.140625" style="1" customWidth="1"/>
    <col min="8" max="8" width="7.7109375" style="1" customWidth="1"/>
    <col min="9" max="9" width="7.140625" style="1" customWidth="1"/>
    <col min="10" max="10" width="20" style="1" customWidth="1"/>
    <col min="11" max="16384" width="11.42578125" style="1"/>
  </cols>
  <sheetData>
    <row r="1" spans="1:8" ht="23.25">
      <c r="A1" s="161" t="s">
        <v>9</v>
      </c>
      <c r="B1" s="161"/>
      <c r="C1" s="161"/>
      <c r="D1" s="161"/>
      <c r="E1" s="161"/>
      <c r="F1" s="161"/>
      <c r="G1" s="161"/>
      <c r="H1" s="12"/>
    </row>
    <row r="2" spans="1:8" ht="20.25">
      <c r="A2" s="162" t="s">
        <v>10</v>
      </c>
      <c r="B2" s="162"/>
      <c r="C2" s="162"/>
      <c r="D2" s="162"/>
      <c r="E2" s="162"/>
      <c r="F2" s="162"/>
      <c r="G2" s="162"/>
      <c r="H2" s="12"/>
    </row>
    <row r="3" spans="1:8" ht="18">
      <c r="A3" s="163" t="s">
        <v>11</v>
      </c>
      <c r="B3" s="163"/>
      <c r="C3" s="163"/>
      <c r="D3" s="163"/>
      <c r="E3" s="163"/>
      <c r="F3" s="163"/>
      <c r="G3" s="163"/>
      <c r="H3" s="12"/>
    </row>
    <row r="4" spans="1:8" ht="15.75">
      <c r="A4" s="11"/>
      <c r="B4" s="13"/>
      <c r="C4" s="13"/>
      <c r="D4" s="14"/>
      <c r="E4" s="14"/>
      <c r="F4" s="15"/>
      <c r="G4" s="15"/>
      <c r="H4" s="12"/>
    </row>
    <row r="5" spans="1:8" ht="15.75">
      <c r="A5" s="164" t="s">
        <v>128</v>
      </c>
      <c r="B5" s="164"/>
      <c r="C5" s="164"/>
      <c r="D5" s="164"/>
      <c r="E5" s="164"/>
      <c r="F5" s="164"/>
      <c r="G5" s="164"/>
      <c r="H5" s="12"/>
    </row>
    <row r="6" spans="1:8" ht="15.75">
      <c r="A6" s="2"/>
      <c r="B6" s="13"/>
      <c r="C6" s="13"/>
      <c r="D6" s="14"/>
      <c r="E6" s="14"/>
      <c r="F6" s="15"/>
      <c r="G6" s="15"/>
      <c r="H6" s="12"/>
    </row>
    <row r="7" spans="1:8" ht="24" customHeight="1">
      <c r="A7" s="165" t="str">
        <f>'BDI Desonerado (2)'!D6</f>
        <v>Substituição e acréscimo dos abrigos e urbanização do entorno no ponto de ônibus sito a Rua José Marcelino de Camargo, em frente a Rua José Martorano, Centro.</v>
      </c>
      <c r="B7" s="166"/>
      <c r="C7" s="166"/>
      <c r="D7" s="166"/>
      <c r="E7" s="166"/>
      <c r="F7" s="166"/>
      <c r="G7" s="166"/>
      <c r="H7" s="12"/>
    </row>
    <row r="8" spans="1:8" ht="15.75">
      <c r="A8" s="3" t="s">
        <v>7</v>
      </c>
      <c r="B8" s="4"/>
      <c r="C8" s="4"/>
      <c r="D8" s="10" t="s">
        <v>619</v>
      </c>
      <c r="F8" s="5"/>
      <c r="G8" s="86"/>
      <c r="H8" s="12"/>
    </row>
    <row r="9" spans="1:8" ht="14.25" customHeight="1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</row>
    <row r="10" spans="1:8">
      <c r="A10" s="17" t="s">
        <v>12</v>
      </c>
      <c r="B10" s="17"/>
      <c r="C10" s="18" t="s">
        <v>77</v>
      </c>
      <c r="D10" s="6"/>
      <c r="E10" s="7"/>
      <c r="F10" s="7"/>
      <c r="G10" s="7"/>
    </row>
    <row r="11" spans="1:8" ht="84">
      <c r="A11" s="8" t="str">
        <f>Orçamento!A11</f>
        <v>1.1</v>
      </c>
      <c r="B11" s="137" t="s">
        <v>159</v>
      </c>
      <c r="C11" s="9" t="s">
        <v>454</v>
      </c>
      <c r="D11" s="6" t="s">
        <v>78</v>
      </c>
      <c r="E11" s="7">
        <v>1</v>
      </c>
      <c r="F11" s="7">
        <f>TRUNC(169.7822,2)</f>
        <v>169.78</v>
      </c>
      <c r="G11" s="7">
        <f t="shared" ref="G11:G16" si="0">TRUNC(E11*F11,2)</f>
        <v>169.78</v>
      </c>
    </row>
    <row r="12" spans="1:8" ht="36">
      <c r="A12" s="8"/>
      <c r="B12" s="137" t="s">
        <v>455</v>
      </c>
      <c r="C12" s="9" t="s">
        <v>456</v>
      </c>
      <c r="D12" s="6" t="s">
        <v>78</v>
      </c>
      <c r="E12" s="7">
        <v>1</v>
      </c>
      <c r="F12" s="7">
        <f>TRUNC(65.3234,2)</f>
        <v>65.319999999999993</v>
      </c>
      <c r="G12" s="7">
        <f t="shared" si="0"/>
        <v>65.319999999999993</v>
      </c>
    </row>
    <row r="13" spans="1:8" ht="36">
      <c r="A13" s="8"/>
      <c r="B13" s="137" t="s">
        <v>151</v>
      </c>
      <c r="C13" s="9" t="s">
        <v>152</v>
      </c>
      <c r="D13" s="6" t="s">
        <v>15</v>
      </c>
      <c r="E13" s="7">
        <v>0.3</v>
      </c>
      <c r="F13" s="7">
        <f>TRUNC(8.55,2)</f>
        <v>8.5500000000000007</v>
      </c>
      <c r="G13" s="7">
        <f t="shared" si="0"/>
        <v>2.56</v>
      </c>
    </row>
    <row r="14" spans="1:8">
      <c r="A14" s="8"/>
      <c r="B14" s="137" t="s">
        <v>153</v>
      </c>
      <c r="C14" s="9" t="s">
        <v>154</v>
      </c>
      <c r="D14" s="6" t="s">
        <v>79</v>
      </c>
      <c r="E14" s="7">
        <v>9.1999999999999993</v>
      </c>
      <c r="F14" s="7">
        <f>TRUNC(3.796,2)</f>
        <v>3.79</v>
      </c>
      <c r="G14" s="7">
        <f t="shared" si="0"/>
        <v>34.86</v>
      </c>
    </row>
    <row r="15" spans="1:8" ht="36">
      <c r="A15" s="8"/>
      <c r="B15" s="137" t="s">
        <v>82</v>
      </c>
      <c r="C15" s="9" t="s">
        <v>83</v>
      </c>
      <c r="D15" s="6" t="s">
        <v>8</v>
      </c>
      <c r="E15" s="7">
        <v>2.06</v>
      </c>
      <c r="F15" s="7">
        <f>TRUNC(13.08,2)</f>
        <v>13.08</v>
      </c>
      <c r="G15" s="7">
        <f t="shared" si="0"/>
        <v>26.94</v>
      </c>
    </row>
    <row r="16" spans="1:8" ht="36">
      <c r="A16" s="8"/>
      <c r="B16" s="137" t="s">
        <v>164</v>
      </c>
      <c r="C16" s="9" t="s">
        <v>165</v>
      </c>
      <c r="D16" s="6" t="s">
        <v>8</v>
      </c>
      <c r="E16" s="7">
        <v>2.06</v>
      </c>
      <c r="F16" s="7">
        <f>TRUNC(19.43,2)</f>
        <v>19.43</v>
      </c>
      <c r="G16" s="7">
        <f t="shared" si="0"/>
        <v>40.020000000000003</v>
      </c>
    </row>
    <row r="17" spans="1:7">
      <c r="A17" s="8"/>
      <c r="B17" s="137"/>
      <c r="C17" s="9"/>
      <c r="D17" s="6"/>
      <c r="E17" s="7" t="s">
        <v>23</v>
      </c>
      <c r="F17" s="7"/>
      <c r="G17" s="7">
        <f>TRUNC(SUM(G12:G16),2)</f>
        <v>169.7</v>
      </c>
    </row>
    <row r="18" spans="1:7" ht="102.75" customHeight="1">
      <c r="A18" s="8" t="str">
        <f>Orçamento!A12</f>
        <v>1.2</v>
      </c>
      <c r="B18" s="137" t="s">
        <v>173</v>
      </c>
      <c r="C18" s="9" t="s">
        <v>174</v>
      </c>
      <c r="D18" s="6" t="s">
        <v>78</v>
      </c>
      <c r="E18" s="7"/>
      <c r="F18" s="7">
        <f>G28</f>
        <v>19.63</v>
      </c>
      <c r="G18" s="7"/>
    </row>
    <row r="19" spans="1:7">
      <c r="A19" s="8"/>
      <c r="B19" s="91" t="s">
        <v>166</v>
      </c>
      <c r="C19" s="22" t="s">
        <v>167</v>
      </c>
      <c r="D19" s="6"/>
      <c r="E19" s="7"/>
      <c r="F19" s="7"/>
      <c r="G19" s="7"/>
    </row>
    <row r="20" spans="1:7" ht="96">
      <c r="A20" s="8"/>
      <c r="B20" s="137" t="s">
        <v>161</v>
      </c>
      <c r="C20" s="9" t="s">
        <v>172</v>
      </c>
      <c r="D20" s="6" t="s">
        <v>78</v>
      </c>
      <c r="E20" s="7"/>
      <c r="F20" s="7">
        <f>TRUNC(17.286645,2)</f>
        <v>17.28</v>
      </c>
      <c r="G20" s="7"/>
    </row>
    <row r="21" spans="1:7" ht="24">
      <c r="A21" s="8"/>
      <c r="B21" s="137" t="s">
        <v>162</v>
      </c>
      <c r="C21" s="9" t="s">
        <v>163</v>
      </c>
      <c r="D21" s="6" t="s">
        <v>78</v>
      </c>
      <c r="E21" s="94">
        <v>0.26250000000000001</v>
      </c>
      <c r="F21" s="7">
        <f>TRUNC(29.89,2)</f>
        <v>29.89</v>
      </c>
      <c r="G21" s="7"/>
    </row>
    <row r="22" spans="1:7" ht="24">
      <c r="A22" s="8"/>
      <c r="B22" s="91" t="s">
        <v>162</v>
      </c>
      <c r="C22" s="22" t="s">
        <v>168</v>
      </c>
      <c r="D22" s="92" t="s">
        <v>78</v>
      </c>
      <c r="E22" s="95">
        <f>0.2625*4/3</f>
        <v>0.35000000000000003</v>
      </c>
      <c r="F22" s="93">
        <v>30</v>
      </c>
      <c r="G22" s="93">
        <f>TRUNC(E22*F22,2)</f>
        <v>10.5</v>
      </c>
    </row>
    <row r="23" spans="1:7" ht="36">
      <c r="A23" s="8"/>
      <c r="B23" s="137" t="s">
        <v>151</v>
      </c>
      <c r="C23" s="9" t="s">
        <v>152</v>
      </c>
      <c r="D23" s="6" t="s">
        <v>15</v>
      </c>
      <c r="E23" s="7">
        <v>0.05</v>
      </c>
      <c r="F23" s="7">
        <v>8.5500000000000007</v>
      </c>
      <c r="G23" s="7">
        <f>TRUNC(E23*F23,2)</f>
        <v>0.42</v>
      </c>
    </row>
    <row r="24" spans="1:7">
      <c r="A24" s="8"/>
      <c r="B24" s="137" t="s">
        <v>153</v>
      </c>
      <c r="C24" s="9" t="s">
        <v>154</v>
      </c>
      <c r="D24" s="6" t="s">
        <v>79</v>
      </c>
      <c r="E24" s="7">
        <v>0.8</v>
      </c>
      <c r="F24" s="7">
        <v>3.79</v>
      </c>
      <c r="G24" s="7"/>
    </row>
    <row r="25" spans="1:7" ht="24">
      <c r="A25" s="8"/>
      <c r="B25" s="91" t="s">
        <v>153</v>
      </c>
      <c r="C25" s="22" t="s">
        <v>175</v>
      </c>
      <c r="D25" s="92" t="s">
        <v>79</v>
      </c>
      <c r="E25" s="93">
        <f>0.8*2/3</f>
        <v>0.53333333333333333</v>
      </c>
      <c r="F25" s="7">
        <v>3.79</v>
      </c>
      <c r="G25" s="93">
        <f>TRUNC(E25*F25,2)</f>
        <v>2.02</v>
      </c>
    </row>
    <row r="26" spans="1:7" ht="36">
      <c r="A26" s="8"/>
      <c r="B26" s="137" t="s">
        <v>82</v>
      </c>
      <c r="C26" s="9" t="s">
        <v>83</v>
      </c>
      <c r="D26" s="6" t="s">
        <v>8</v>
      </c>
      <c r="E26" s="7">
        <v>0.20600000000000002</v>
      </c>
      <c r="F26" s="7">
        <v>13.08</v>
      </c>
      <c r="G26" s="7">
        <f>TRUNC(E26*F26,2)</f>
        <v>2.69</v>
      </c>
    </row>
    <row r="27" spans="1:7" ht="36">
      <c r="A27" s="8"/>
      <c r="B27" s="137" t="s">
        <v>164</v>
      </c>
      <c r="C27" s="9" t="s">
        <v>165</v>
      </c>
      <c r="D27" s="6" t="s">
        <v>8</v>
      </c>
      <c r="E27" s="7">
        <v>0.20600000000000002</v>
      </c>
      <c r="F27" s="7">
        <v>19.43</v>
      </c>
      <c r="G27" s="7">
        <f>TRUNC(E27*F27,2)</f>
        <v>4</v>
      </c>
    </row>
    <row r="28" spans="1:7">
      <c r="A28" s="8"/>
      <c r="B28" s="137"/>
      <c r="C28" s="9"/>
      <c r="D28" s="6"/>
      <c r="E28" s="7" t="s">
        <v>23</v>
      </c>
      <c r="F28" s="7"/>
      <c r="G28" s="7">
        <f>TRUNC(SUM(G21:G27),2)</f>
        <v>19.63</v>
      </c>
    </row>
    <row r="29" spans="1:7" ht="84">
      <c r="A29" s="8" t="str">
        <f>Orçamento!A13</f>
        <v>1.3</v>
      </c>
      <c r="B29" s="137" t="s">
        <v>160</v>
      </c>
      <c r="C29" s="9" t="s">
        <v>457</v>
      </c>
      <c r="D29" s="6" t="s">
        <v>78</v>
      </c>
      <c r="E29" s="7">
        <v>1</v>
      </c>
      <c r="F29" s="7">
        <f>TRUNC(0.78561,2)</f>
        <v>0.78</v>
      </c>
      <c r="G29" s="7">
        <f>TRUNC(E29*F29,2)</f>
        <v>0.78</v>
      </c>
    </row>
    <row r="30" spans="1:7" ht="24">
      <c r="A30" s="8"/>
      <c r="B30" s="137" t="s">
        <v>458</v>
      </c>
      <c r="C30" s="9" t="s">
        <v>459</v>
      </c>
      <c r="D30" s="6" t="s">
        <v>79</v>
      </c>
      <c r="E30" s="7">
        <v>0.60899999999999999</v>
      </c>
      <c r="F30" s="7">
        <f>TRUNC(1.29,2)</f>
        <v>1.29</v>
      </c>
      <c r="G30" s="7">
        <f>TRUNC(E30*F30,2)</f>
        <v>0.78</v>
      </c>
    </row>
    <row r="31" spans="1:7">
      <c r="A31" s="8"/>
      <c r="B31" s="137"/>
      <c r="C31" s="9"/>
      <c r="D31" s="6"/>
      <c r="E31" s="7" t="s">
        <v>23</v>
      </c>
      <c r="F31" s="7"/>
      <c r="G31" s="7">
        <f>TRUNC(SUM(G30:G30),2)</f>
        <v>0.78</v>
      </c>
    </row>
    <row r="32" spans="1:7" ht="36">
      <c r="A32" s="8" t="str">
        <f>Orçamento!A14</f>
        <v>1.4</v>
      </c>
      <c r="B32" s="137" t="s">
        <v>84</v>
      </c>
      <c r="C32" s="9" t="s">
        <v>138</v>
      </c>
      <c r="D32" s="6" t="s">
        <v>14</v>
      </c>
      <c r="E32" s="7">
        <v>1</v>
      </c>
      <c r="F32" s="7">
        <f>TRUNC(91.6288,2)</f>
        <v>91.62</v>
      </c>
      <c r="G32" s="7">
        <f>TRUNC(E32*F32,2)</f>
        <v>91.62</v>
      </c>
    </row>
    <row r="33" spans="1:7" ht="48">
      <c r="A33" s="8"/>
      <c r="B33" s="137" t="s">
        <v>460</v>
      </c>
      <c r="C33" s="9" t="s">
        <v>461</v>
      </c>
      <c r="D33" s="6" t="s">
        <v>8</v>
      </c>
      <c r="E33" s="7">
        <v>8.24</v>
      </c>
      <c r="F33" s="7">
        <f>TRUNC(11.12,2)</f>
        <v>11.12</v>
      </c>
      <c r="G33" s="7">
        <f>TRUNC(E33*F33,2)</f>
        <v>91.62</v>
      </c>
    </row>
    <row r="34" spans="1:7">
      <c r="A34" s="8"/>
      <c r="B34" s="137"/>
      <c r="C34" s="9"/>
      <c r="D34" s="6"/>
      <c r="E34" s="7" t="s">
        <v>23</v>
      </c>
      <c r="F34" s="7"/>
      <c r="G34" s="7">
        <f>TRUNC(SUM(G33:G33),2)</f>
        <v>91.62</v>
      </c>
    </row>
    <row r="35" spans="1:7" ht="72">
      <c r="A35" s="8" t="str">
        <f>Orçamento!A15</f>
        <v>1.5</v>
      </c>
      <c r="B35" s="137" t="s">
        <v>180</v>
      </c>
      <c r="C35" s="9" t="s">
        <v>462</v>
      </c>
      <c r="D35" s="6" t="s">
        <v>78</v>
      </c>
      <c r="E35" s="7">
        <v>1</v>
      </c>
      <c r="F35" s="7">
        <f>TRUNC(8.82685625,2)</f>
        <v>8.82</v>
      </c>
      <c r="G35" s="7">
        <f t="shared" ref="G35:G42" si="1">TRUNC(E35*F35,2)</f>
        <v>8.82</v>
      </c>
    </row>
    <row r="36" spans="1:7" ht="36">
      <c r="A36" s="8"/>
      <c r="B36" s="137" t="s">
        <v>82</v>
      </c>
      <c r="C36" s="9" t="s">
        <v>83</v>
      </c>
      <c r="D36" s="6" t="s">
        <v>8</v>
      </c>
      <c r="E36" s="7">
        <v>0.12875</v>
      </c>
      <c r="F36" s="7">
        <f>TRUNC(13.08,2)</f>
        <v>13.08</v>
      </c>
      <c r="G36" s="7">
        <f t="shared" si="1"/>
        <v>1.68</v>
      </c>
    </row>
    <row r="37" spans="1:7" ht="36">
      <c r="A37" s="8"/>
      <c r="B37" s="137" t="s">
        <v>463</v>
      </c>
      <c r="C37" s="9" t="s">
        <v>464</v>
      </c>
      <c r="D37" s="6" t="s">
        <v>8</v>
      </c>
      <c r="E37" s="7">
        <v>6.4375000000000002E-2</v>
      </c>
      <c r="F37" s="7">
        <f>TRUNC(20.29,2)</f>
        <v>20.29</v>
      </c>
      <c r="G37" s="7">
        <f t="shared" si="1"/>
        <v>1.3</v>
      </c>
    </row>
    <row r="38" spans="1:7" ht="24">
      <c r="A38" s="8"/>
      <c r="B38" s="137" t="s">
        <v>412</v>
      </c>
      <c r="C38" s="9" t="s">
        <v>413</v>
      </c>
      <c r="D38" s="6" t="s">
        <v>8</v>
      </c>
      <c r="E38" s="7">
        <v>0.12875</v>
      </c>
      <c r="F38" s="7">
        <f>TRUNC(18.05,2)</f>
        <v>18.05</v>
      </c>
      <c r="G38" s="7">
        <f t="shared" si="1"/>
        <v>2.3199999999999998</v>
      </c>
    </row>
    <row r="39" spans="1:7" ht="24">
      <c r="A39" s="8"/>
      <c r="B39" s="137" t="s">
        <v>465</v>
      </c>
      <c r="C39" s="9" t="s">
        <v>466</v>
      </c>
      <c r="D39" s="6" t="s">
        <v>8</v>
      </c>
      <c r="E39" s="7">
        <v>1.2500000000000001E-2</v>
      </c>
      <c r="F39" s="7">
        <f>TRUNC(13.79,2)</f>
        <v>13.79</v>
      </c>
      <c r="G39" s="7">
        <f t="shared" si="1"/>
        <v>0.17</v>
      </c>
    </row>
    <row r="40" spans="1:7" ht="24">
      <c r="A40" s="8"/>
      <c r="B40" s="137" t="s">
        <v>467</v>
      </c>
      <c r="C40" s="9" t="s">
        <v>468</v>
      </c>
      <c r="D40" s="6" t="s">
        <v>8</v>
      </c>
      <c r="E40" s="7">
        <v>0.05</v>
      </c>
      <c r="F40" s="7">
        <f>TRUNC(64.5665,2)</f>
        <v>64.56</v>
      </c>
      <c r="G40" s="7">
        <f t="shared" si="1"/>
        <v>3.22</v>
      </c>
    </row>
    <row r="41" spans="1:7" ht="36">
      <c r="A41" s="8"/>
      <c r="B41" s="137" t="s">
        <v>469</v>
      </c>
      <c r="C41" s="9" t="s">
        <v>470</v>
      </c>
      <c r="D41" s="6" t="s">
        <v>8</v>
      </c>
      <c r="E41" s="7">
        <v>2.5000000000000001E-2</v>
      </c>
      <c r="F41" s="7">
        <f>TRUNC(0.64,2)</f>
        <v>0.64</v>
      </c>
      <c r="G41" s="7">
        <f t="shared" si="1"/>
        <v>0.01</v>
      </c>
    </row>
    <row r="42" spans="1:7" ht="36">
      <c r="A42" s="8"/>
      <c r="B42" s="137" t="s">
        <v>471</v>
      </c>
      <c r="C42" s="9" t="s">
        <v>472</v>
      </c>
      <c r="D42" s="6" t="s">
        <v>8</v>
      </c>
      <c r="E42" s="7">
        <v>0.1</v>
      </c>
      <c r="F42" s="7">
        <f>TRUNC(0.96,2)</f>
        <v>0.96</v>
      </c>
      <c r="G42" s="7">
        <f t="shared" si="1"/>
        <v>0.09</v>
      </c>
    </row>
    <row r="43" spans="1:7">
      <c r="A43" s="8"/>
      <c r="B43" s="137"/>
      <c r="C43" s="9"/>
      <c r="D43" s="6"/>
      <c r="E43" s="7" t="s">
        <v>23</v>
      </c>
      <c r="F43" s="7"/>
      <c r="G43" s="7">
        <f>TRUNC(SUM(G36:G42),2)</f>
        <v>8.7899999999999991</v>
      </c>
    </row>
    <row r="44" spans="1:7" ht="36">
      <c r="A44" s="8" t="str">
        <f>Orçamento!A16</f>
        <v>1.6</v>
      </c>
      <c r="B44" s="137" t="s">
        <v>194</v>
      </c>
      <c r="C44" s="9" t="s">
        <v>195</v>
      </c>
      <c r="D44" s="6" t="s">
        <v>79</v>
      </c>
      <c r="E44" s="7">
        <v>1</v>
      </c>
      <c r="F44" s="7">
        <f>TRUNC(44.9495108,2)</f>
        <v>44.94</v>
      </c>
      <c r="G44" s="7">
        <f>TRUNC(E44*F44,2)</f>
        <v>44.94</v>
      </c>
    </row>
    <row r="45" spans="1:7" ht="36">
      <c r="A45" s="8"/>
      <c r="B45" s="137" t="s">
        <v>82</v>
      </c>
      <c r="C45" s="9" t="s">
        <v>83</v>
      </c>
      <c r="D45" s="6" t="s">
        <v>8</v>
      </c>
      <c r="E45" s="7">
        <v>2.6780000000000004</v>
      </c>
      <c r="F45" s="7">
        <f>TRUNC(13.08,2)</f>
        <v>13.08</v>
      </c>
      <c r="G45" s="7">
        <f>TRUNC(E45*F45,2)</f>
        <v>35.020000000000003</v>
      </c>
    </row>
    <row r="46" spans="1:7" ht="24">
      <c r="A46" s="8"/>
      <c r="B46" s="137" t="s">
        <v>86</v>
      </c>
      <c r="C46" s="9" t="s">
        <v>87</v>
      </c>
      <c r="D46" s="6" t="s">
        <v>8</v>
      </c>
      <c r="E46" s="7">
        <v>0.1236</v>
      </c>
      <c r="F46" s="7">
        <f>TRUNC(18.05,2)</f>
        <v>18.05</v>
      </c>
      <c r="G46" s="7">
        <f>TRUNC(E46*F46,2)</f>
        <v>2.23</v>
      </c>
    </row>
    <row r="47" spans="1:7" ht="24">
      <c r="A47" s="8"/>
      <c r="B47" s="137" t="s">
        <v>102</v>
      </c>
      <c r="C47" s="9" t="s">
        <v>103</v>
      </c>
      <c r="D47" s="6" t="s">
        <v>8</v>
      </c>
      <c r="E47" s="7">
        <v>0.41200000000000003</v>
      </c>
      <c r="F47" s="7">
        <f>TRUNC(18.05,2)</f>
        <v>18.05</v>
      </c>
      <c r="G47" s="7">
        <f>TRUNC(E47*F47,2)</f>
        <v>7.43</v>
      </c>
    </row>
    <row r="48" spans="1:7" ht="24">
      <c r="A48" s="8"/>
      <c r="B48" s="137" t="s">
        <v>104</v>
      </c>
      <c r="C48" s="9" t="s">
        <v>105</v>
      </c>
      <c r="D48" s="6" t="s">
        <v>85</v>
      </c>
      <c r="E48" s="7">
        <v>1E-3</v>
      </c>
      <c r="F48" s="7">
        <f>TRUNC(253.6908,2)</f>
        <v>253.69</v>
      </c>
      <c r="G48" s="7">
        <f>TRUNC(E48*F48,2)</f>
        <v>0.25</v>
      </c>
    </row>
    <row r="49" spans="1:7">
      <c r="A49" s="8"/>
      <c r="B49" s="137"/>
      <c r="C49" s="9"/>
      <c r="D49" s="6"/>
      <c r="E49" s="7" t="s">
        <v>23</v>
      </c>
      <c r="F49" s="7"/>
      <c r="G49" s="7">
        <f>TRUNC(SUM(G45:G48),2)</f>
        <v>44.93</v>
      </c>
    </row>
    <row r="50" spans="1:7" ht="60">
      <c r="A50" s="8" t="str">
        <f>Orçamento!A17</f>
        <v>1.7</v>
      </c>
      <c r="B50" s="137" t="s">
        <v>80</v>
      </c>
      <c r="C50" s="9" t="s">
        <v>81</v>
      </c>
      <c r="D50" s="6" t="s">
        <v>79</v>
      </c>
      <c r="E50" s="7">
        <v>1</v>
      </c>
      <c r="F50" s="7">
        <f>TRUNC(14.81964,2)</f>
        <v>14.81</v>
      </c>
      <c r="G50" s="7">
        <f>TRUNC(E50*F50,2)</f>
        <v>14.81</v>
      </c>
    </row>
    <row r="51" spans="1:7" ht="36">
      <c r="A51" s="8"/>
      <c r="B51" s="137" t="s">
        <v>82</v>
      </c>
      <c r="C51" s="9" t="s">
        <v>83</v>
      </c>
      <c r="D51" s="6" t="s">
        <v>8</v>
      </c>
      <c r="E51" s="7">
        <v>1.1330000000000002</v>
      </c>
      <c r="F51" s="7">
        <f>TRUNC(13.08,2)</f>
        <v>13.08</v>
      </c>
      <c r="G51" s="7">
        <f>TRUNC(E51*F51,2)</f>
        <v>14.81</v>
      </c>
    </row>
    <row r="52" spans="1:7">
      <c r="A52" s="8"/>
      <c r="B52" s="137"/>
      <c r="C52" s="9"/>
      <c r="D52" s="6"/>
      <c r="E52" s="7" t="s">
        <v>23</v>
      </c>
      <c r="F52" s="7"/>
      <c r="G52" s="7">
        <f>TRUNC(SUM(G51:G51),2)</f>
        <v>14.81</v>
      </c>
    </row>
    <row r="53" spans="1:7" ht="60">
      <c r="A53" s="8" t="str">
        <f>Orçamento!A18</f>
        <v>1.8</v>
      </c>
      <c r="B53" s="137" t="s">
        <v>197</v>
      </c>
      <c r="C53" s="9" t="s">
        <v>198</v>
      </c>
      <c r="D53" s="6" t="s">
        <v>85</v>
      </c>
      <c r="E53" s="7">
        <v>1</v>
      </c>
      <c r="F53" s="7">
        <f>TRUNC(471.44009,2)</f>
        <v>471.44</v>
      </c>
      <c r="G53" s="7">
        <f>TRUNC(E53*F53,2)</f>
        <v>471.44</v>
      </c>
    </row>
    <row r="54" spans="1:7" ht="24">
      <c r="A54" s="8"/>
      <c r="B54" s="137" t="s">
        <v>473</v>
      </c>
      <c r="C54" s="9" t="s">
        <v>474</v>
      </c>
      <c r="D54" s="6" t="s">
        <v>85</v>
      </c>
      <c r="E54" s="7">
        <v>1.7</v>
      </c>
      <c r="F54" s="7">
        <f>TRUNC(277.3177,2)</f>
        <v>277.31</v>
      </c>
      <c r="G54" s="7">
        <f>TRUNC(E54*F54,2)</f>
        <v>471.42</v>
      </c>
    </row>
    <row r="55" spans="1:7">
      <c r="A55" s="8"/>
      <c r="B55" s="137"/>
      <c r="C55" s="9"/>
      <c r="D55" s="6"/>
      <c r="E55" s="7" t="s">
        <v>23</v>
      </c>
      <c r="F55" s="7"/>
      <c r="G55" s="7">
        <f>TRUNC(SUM(G54:G54),2)</f>
        <v>471.42</v>
      </c>
    </row>
    <row r="56" spans="1:7" ht="105" customHeight="1">
      <c r="A56" s="8" t="str">
        <f>Orçamento!A19</f>
        <v>1.9</v>
      </c>
      <c r="B56" s="137" t="s">
        <v>186</v>
      </c>
      <c r="C56" s="9" t="s">
        <v>188</v>
      </c>
      <c r="D56" s="6" t="s">
        <v>14</v>
      </c>
      <c r="E56" s="7"/>
      <c r="F56" s="7">
        <f>G63</f>
        <v>236.85000000000002</v>
      </c>
      <c r="G56" s="7"/>
    </row>
    <row r="57" spans="1:7" ht="24">
      <c r="A57" s="8"/>
      <c r="B57" s="91" t="s">
        <v>166</v>
      </c>
      <c r="C57" s="22" t="s">
        <v>187</v>
      </c>
      <c r="D57" s="6"/>
      <c r="E57" s="7"/>
      <c r="F57" s="7"/>
      <c r="G57" s="7"/>
    </row>
    <row r="58" spans="1:7" ht="36">
      <c r="A58" s="8"/>
      <c r="B58" s="137" t="s">
        <v>181</v>
      </c>
      <c r="C58" s="9" t="s">
        <v>182</v>
      </c>
      <c r="D58" s="6" t="s">
        <v>79</v>
      </c>
      <c r="E58" s="7">
        <v>1</v>
      </c>
      <c r="F58" s="7">
        <v>78.959999999999994</v>
      </c>
      <c r="G58" s="7">
        <f>TRUNC(E58*F58,2)</f>
        <v>78.959999999999994</v>
      </c>
    </row>
    <row r="59" spans="1:7" ht="36">
      <c r="A59" s="8"/>
      <c r="B59" s="137" t="s">
        <v>82</v>
      </c>
      <c r="C59" s="9" t="s">
        <v>83</v>
      </c>
      <c r="D59" s="6" t="s">
        <v>8</v>
      </c>
      <c r="E59" s="7">
        <v>5.15</v>
      </c>
      <c r="F59" s="7">
        <v>13.08</v>
      </c>
      <c r="G59" s="7">
        <f>TRUNC(E59*F59,2)</f>
        <v>67.36</v>
      </c>
    </row>
    <row r="60" spans="1:7" ht="24">
      <c r="A60" s="8"/>
      <c r="B60" s="137" t="s">
        <v>183</v>
      </c>
      <c r="C60" s="9" t="s">
        <v>184</v>
      </c>
      <c r="D60" s="6" t="s">
        <v>8</v>
      </c>
      <c r="E60" s="7">
        <v>0.33</v>
      </c>
      <c r="F60" s="7">
        <v>35.14</v>
      </c>
      <c r="G60" s="7">
        <f>TRUNC(E60*F60,2)</f>
        <v>11.59</v>
      </c>
    </row>
    <row r="61" spans="1:7">
      <c r="A61" s="8"/>
      <c r="B61" s="137"/>
      <c r="C61" s="9"/>
      <c r="D61" s="6"/>
      <c r="E61" s="7" t="s">
        <v>23</v>
      </c>
      <c r="F61" s="7"/>
      <c r="G61" s="7">
        <f>TRUNC(SUM(G59:G60),2)</f>
        <v>78.95</v>
      </c>
    </row>
    <row r="62" spans="1:7">
      <c r="A62" s="8"/>
      <c r="B62" s="137"/>
      <c r="C62" s="9"/>
      <c r="D62" s="6"/>
      <c r="E62" s="7" t="s">
        <v>185</v>
      </c>
      <c r="F62" s="7"/>
      <c r="G62" s="7">
        <v>3</v>
      </c>
    </row>
    <row r="63" spans="1:7">
      <c r="A63" s="8"/>
      <c r="B63" s="137"/>
      <c r="C63" s="9"/>
      <c r="D63" s="6"/>
      <c r="E63" s="7"/>
      <c r="F63" s="7"/>
      <c r="G63" s="7">
        <f>G61*G62</f>
        <v>236.85000000000002</v>
      </c>
    </row>
    <row r="64" spans="1:7" ht="108">
      <c r="A64" s="8" t="str">
        <f>Orçamento!A20</f>
        <v>1.10</v>
      </c>
      <c r="B64" s="137" t="s">
        <v>94</v>
      </c>
      <c r="C64" s="9" t="s">
        <v>137</v>
      </c>
      <c r="D64" s="6" t="s">
        <v>89</v>
      </c>
      <c r="E64" s="7">
        <v>1</v>
      </c>
      <c r="F64" s="7">
        <f>TRUNC(18.9789011,2)</f>
        <v>18.97</v>
      </c>
      <c r="G64" s="7">
        <f>TRUNC(E64*F64,2)</f>
        <v>18.97</v>
      </c>
    </row>
    <row r="65" spans="1:7" ht="36">
      <c r="A65" s="8"/>
      <c r="B65" s="137" t="s">
        <v>82</v>
      </c>
      <c r="C65" s="9" t="s">
        <v>83</v>
      </c>
      <c r="D65" s="6" t="s">
        <v>8</v>
      </c>
      <c r="E65" s="7">
        <v>0.77249999999999996</v>
      </c>
      <c r="F65" s="7">
        <f>TRUNC(13.08,2)</f>
        <v>13.08</v>
      </c>
      <c r="G65" s="7">
        <f>TRUNC(E65*F65,2)</f>
        <v>10.1</v>
      </c>
    </row>
    <row r="66" spans="1:7" ht="24">
      <c r="A66" s="8"/>
      <c r="B66" s="137" t="s">
        <v>90</v>
      </c>
      <c r="C66" s="9" t="s">
        <v>91</v>
      </c>
      <c r="D66" s="6" t="s">
        <v>8</v>
      </c>
      <c r="E66" s="7">
        <v>0.188</v>
      </c>
      <c r="F66" s="7">
        <f>TRUNC(43.8037,2)</f>
        <v>43.8</v>
      </c>
      <c r="G66" s="7">
        <f>TRUNC(E66*F66,2)</f>
        <v>8.23</v>
      </c>
    </row>
    <row r="67" spans="1:7" ht="24">
      <c r="A67" s="8"/>
      <c r="B67" s="137" t="s">
        <v>92</v>
      </c>
      <c r="C67" s="9" t="s">
        <v>93</v>
      </c>
      <c r="D67" s="6" t="s">
        <v>8</v>
      </c>
      <c r="E67" s="7">
        <v>5.0000000000000001E-3</v>
      </c>
      <c r="F67" s="7">
        <f>TRUNC(127.9011,2)</f>
        <v>127.9</v>
      </c>
      <c r="G67" s="7">
        <f>TRUNC(E67*F67,2)</f>
        <v>0.63</v>
      </c>
    </row>
    <row r="68" spans="1:7">
      <c r="A68" s="8"/>
      <c r="B68" s="137"/>
      <c r="C68" s="9"/>
      <c r="D68" s="6"/>
      <c r="E68" s="7" t="s">
        <v>23</v>
      </c>
      <c r="F68" s="7"/>
      <c r="G68" s="7">
        <f>TRUNC(SUM(G65:G67),2)</f>
        <v>18.96</v>
      </c>
    </row>
    <row r="69" spans="1:7" ht="84">
      <c r="A69" s="8" t="str">
        <f>Orçamento!A21</f>
        <v>1.11</v>
      </c>
      <c r="B69" s="137" t="s">
        <v>192</v>
      </c>
      <c r="C69" s="9" t="s">
        <v>193</v>
      </c>
      <c r="D69" s="6" t="s">
        <v>99</v>
      </c>
      <c r="E69" s="7">
        <v>1</v>
      </c>
      <c r="F69" s="7">
        <f>TRUNC(0.6395055,2)</f>
        <v>0.63</v>
      </c>
      <c r="G69" s="7">
        <f>TRUNC(E69*F69,2)</f>
        <v>0.63</v>
      </c>
    </row>
    <row r="70" spans="1:7" ht="24">
      <c r="A70" s="8"/>
      <c r="B70" s="137" t="s">
        <v>92</v>
      </c>
      <c r="C70" s="9" t="s">
        <v>93</v>
      </c>
      <c r="D70" s="6" t="s">
        <v>8</v>
      </c>
      <c r="E70" s="7">
        <v>5.0000000000000001E-3</v>
      </c>
      <c r="F70" s="7">
        <f>TRUNC(127.9011,2)</f>
        <v>127.9</v>
      </c>
      <c r="G70" s="7">
        <f>TRUNC(E70*F70,2)</f>
        <v>0.63</v>
      </c>
    </row>
    <row r="71" spans="1:7">
      <c r="A71" s="8"/>
      <c r="B71" s="137"/>
      <c r="C71" s="9"/>
      <c r="D71" s="6"/>
      <c r="E71" s="7" t="s">
        <v>23</v>
      </c>
      <c r="F71" s="7"/>
      <c r="G71" s="7">
        <f>TRUNC(SUM(G70:G70),2)</f>
        <v>0.63</v>
      </c>
    </row>
    <row r="72" spans="1:7" ht="72">
      <c r="A72" s="8" t="str">
        <f>Orçamento!A22</f>
        <v>1.12</v>
      </c>
      <c r="B72" s="137" t="s">
        <v>449</v>
      </c>
      <c r="C72" s="9" t="s">
        <v>450</v>
      </c>
      <c r="D72" s="6" t="s">
        <v>448</v>
      </c>
      <c r="E72" s="7">
        <v>1</v>
      </c>
      <c r="F72" s="7">
        <f>TRUNC(41,2)</f>
        <v>41</v>
      </c>
      <c r="G72" s="7">
        <f>TRUNC(E72*F72,2)</f>
        <v>41</v>
      </c>
    </row>
    <row r="73" spans="1:7" ht="36">
      <c r="A73" s="8"/>
      <c r="B73" s="137" t="s">
        <v>475</v>
      </c>
      <c r="C73" s="9" t="s">
        <v>476</v>
      </c>
      <c r="D73" s="6" t="s">
        <v>477</v>
      </c>
      <c r="E73" s="7">
        <v>1</v>
      </c>
      <c r="F73" s="7">
        <f>TRUNC(41,2)</f>
        <v>41</v>
      </c>
      <c r="G73" s="7">
        <f>TRUNC(E73*F73,2)</f>
        <v>41</v>
      </c>
    </row>
    <row r="74" spans="1:7">
      <c r="A74" s="8"/>
      <c r="B74" s="137"/>
      <c r="C74" s="9"/>
      <c r="D74" s="6"/>
      <c r="E74" s="7" t="s">
        <v>23</v>
      </c>
      <c r="F74" s="7"/>
      <c r="G74" s="7">
        <f>TRUNC(SUM(G73:G73),2)</f>
        <v>41</v>
      </c>
    </row>
    <row r="75" spans="1:7" ht="96">
      <c r="A75" s="8" t="str">
        <f>Orçamento!A23</f>
        <v>1.13</v>
      </c>
      <c r="B75" s="137" t="s">
        <v>451</v>
      </c>
      <c r="C75" s="9" t="s">
        <v>452</v>
      </c>
      <c r="D75" s="6" t="s">
        <v>14</v>
      </c>
      <c r="E75" s="7">
        <v>1</v>
      </c>
      <c r="F75" s="7">
        <f>TRUNC(66.4695383,2)</f>
        <v>66.459999999999994</v>
      </c>
      <c r="G75" s="7">
        <f t="shared" ref="G75:G84" si="2">TRUNC(E75*F75,2)</f>
        <v>66.459999999999994</v>
      </c>
    </row>
    <row r="76" spans="1:7" ht="36">
      <c r="A76" s="8"/>
      <c r="B76" s="137" t="s">
        <v>151</v>
      </c>
      <c r="C76" s="9" t="s">
        <v>152</v>
      </c>
      <c r="D76" s="6" t="s">
        <v>15</v>
      </c>
      <c r="E76" s="7">
        <v>1.2E-2</v>
      </c>
      <c r="F76" s="7">
        <f>TRUNC(8.55,2)</f>
        <v>8.5500000000000007</v>
      </c>
      <c r="G76" s="7">
        <f t="shared" si="2"/>
        <v>0.1</v>
      </c>
    </row>
    <row r="77" spans="1:7">
      <c r="A77" s="8"/>
      <c r="B77" s="137" t="s">
        <v>153</v>
      </c>
      <c r="C77" s="9" t="s">
        <v>154</v>
      </c>
      <c r="D77" s="6" t="s">
        <v>79</v>
      </c>
      <c r="E77" s="7">
        <v>3</v>
      </c>
      <c r="F77" s="7">
        <f>TRUNC(3.796,2)</f>
        <v>3.79</v>
      </c>
      <c r="G77" s="7">
        <f t="shared" si="2"/>
        <v>11.37</v>
      </c>
    </row>
    <row r="78" spans="1:7" ht="24">
      <c r="A78" s="8"/>
      <c r="B78" s="137" t="s">
        <v>478</v>
      </c>
      <c r="C78" s="9" t="s">
        <v>479</v>
      </c>
      <c r="D78" s="6" t="s">
        <v>78</v>
      </c>
      <c r="E78" s="7">
        <v>0.48</v>
      </c>
      <c r="F78" s="7">
        <f>TRUNC(8.0568,2)</f>
        <v>8.0500000000000007</v>
      </c>
      <c r="G78" s="7">
        <f t="shared" si="2"/>
        <v>3.86</v>
      </c>
    </row>
    <row r="79" spans="1:7" ht="24">
      <c r="A79" s="8"/>
      <c r="B79" s="137" t="s">
        <v>480</v>
      </c>
      <c r="C79" s="9" t="s">
        <v>481</v>
      </c>
      <c r="D79" s="6" t="s">
        <v>482</v>
      </c>
      <c r="E79" s="7">
        <v>4.0000000000000001E-3</v>
      </c>
      <c r="F79" s="7">
        <f>TRUNC(54.62,2)</f>
        <v>54.62</v>
      </c>
      <c r="G79" s="7">
        <f t="shared" si="2"/>
        <v>0.21</v>
      </c>
    </row>
    <row r="80" spans="1:7" ht="36">
      <c r="A80" s="8"/>
      <c r="B80" s="137" t="s">
        <v>82</v>
      </c>
      <c r="C80" s="9" t="s">
        <v>83</v>
      </c>
      <c r="D80" s="6" t="s">
        <v>8</v>
      </c>
      <c r="E80" s="7">
        <v>0.20600000000000002</v>
      </c>
      <c r="F80" s="7">
        <f>TRUNC(13.08,2)</f>
        <v>13.08</v>
      </c>
      <c r="G80" s="7">
        <f t="shared" si="2"/>
        <v>2.69</v>
      </c>
    </row>
    <row r="81" spans="1:7" ht="24">
      <c r="A81" s="8"/>
      <c r="B81" s="137" t="s">
        <v>483</v>
      </c>
      <c r="C81" s="9" t="s">
        <v>484</v>
      </c>
      <c r="D81" s="6" t="s">
        <v>8</v>
      </c>
      <c r="E81" s="7">
        <v>2.06</v>
      </c>
      <c r="F81" s="7">
        <f>TRUNC(18.05,2)</f>
        <v>18.05</v>
      </c>
      <c r="G81" s="7">
        <f t="shared" si="2"/>
        <v>37.18</v>
      </c>
    </row>
    <row r="82" spans="1:7" ht="36">
      <c r="A82" s="8"/>
      <c r="B82" s="137" t="s">
        <v>164</v>
      </c>
      <c r="C82" s="9" t="s">
        <v>165</v>
      </c>
      <c r="D82" s="6" t="s">
        <v>8</v>
      </c>
      <c r="E82" s="7">
        <v>0.20600000000000002</v>
      </c>
      <c r="F82" s="7">
        <f>TRUNC(19.43,2)</f>
        <v>19.43</v>
      </c>
      <c r="G82" s="7">
        <f t="shared" si="2"/>
        <v>4</v>
      </c>
    </row>
    <row r="83" spans="1:7" ht="24">
      <c r="A83" s="8"/>
      <c r="B83" s="137" t="s">
        <v>95</v>
      </c>
      <c r="C83" s="9" t="s">
        <v>96</v>
      </c>
      <c r="D83" s="6" t="s">
        <v>8</v>
      </c>
      <c r="E83" s="7">
        <v>1.7999999999999999E-2</v>
      </c>
      <c r="F83" s="7">
        <f>TRUNC(40.3365,2)</f>
        <v>40.33</v>
      </c>
      <c r="G83" s="7">
        <f t="shared" si="2"/>
        <v>0.72</v>
      </c>
    </row>
    <row r="84" spans="1:7" ht="24">
      <c r="A84" s="8"/>
      <c r="B84" s="137" t="s">
        <v>97</v>
      </c>
      <c r="C84" s="9" t="s">
        <v>98</v>
      </c>
      <c r="D84" s="6" t="s">
        <v>8</v>
      </c>
      <c r="E84" s="7">
        <v>5.2999999999999999E-2</v>
      </c>
      <c r="F84" s="7">
        <f>TRUNC(118.6241,2)</f>
        <v>118.62</v>
      </c>
      <c r="G84" s="7">
        <f t="shared" si="2"/>
        <v>6.28</v>
      </c>
    </row>
    <row r="85" spans="1:7">
      <c r="A85" s="8"/>
      <c r="B85" s="137"/>
      <c r="C85" s="9"/>
      <c r="D85" s="6"/>
      <c r="E85" s="7" t="s">
        <v>23</v>
      </c>
      <c r="F85" s="7"/>
      <c r="G85" s="7">
        <f>TRUNC(SUM(G76:G84),2)</f>
        <v>66.41</v>
      </c>
    </row>
    <row r="86" spans="1:7">
      <c r="A86" s="8"/>
      <c r="B86" s="137"/>
      <c r="C86" s="9"/>
      <c r="D86" s="6"/>
      <c r="E86" s="7"/>
      <c r="F86" s="7"/>
      <c r="G86" s="7"/>
    </row>
    <row r="87" spans="1:7">
      <c r="A87" s="17" t="s">
        <v>19</v>
      </c>
      <c r="B87" s="17"/>
      <c r="C87" s="18" t="s">
        <v>100</v>
      </c>
      <c r="D87" s="6"/>
      <c r="E87" s="7"/>
      <c r="F87" s="7"/>
      <c r="G87" s="7"/>
    </row>
    <row r="88" spans="1:7" ht="132">
      <c r="A88" s="8" t="str">
        <f>Orçamento!A27</f>
        <v>2.1</v>
      </c>
      <c r="B88" s="137" t="s">
        <v>203</v>
      </c>
      <c r="C88" s="9" t="s">
        <v>204</v>
      </c>
      <c r="D88" s="6" t="s">
        <v>85</v>
      </c>
      <c r="E88" s="7">
        <v>1</v>
      </c>
      <c r="F88" s="7">
        <f>TRUNC(1559.8670985,2)</f>
        <v>1559.86</v>
      </c>
      <c r="G88" s="7">
        <f t="shared" ref="G88:G103" si="3">TRUNC(E88*F88,2)</f>
        <v>1559.86</v>
      </c>
    </row>
    <row r="89" spans="1:7" ht="24">
      <c r="A89" s="8"/>
      <c r="B89" s="137" t="s">
        <v>485</v>
      </c>
      <c r="C89" s="9" t="s">
        <v>486</v>
      </c>
      <c r="D89" s="6" t="s">
        <v>15</v>
      </c>
      <c r="E89" s="7">
        <v>12</v>
      </c>
      <c r="F89" s="7">
        <f>TRUNC(5.0444,2)</f>
        <v>5.04</v>
      </c>
      <c r="G89" s="7">
        <f t="shared" si="3"/>
        <v>60.48</v>
      </c>
    </row>
    <row r="90" spans="1:7" ht="24">
      <c r="A90" s="8"/>
      <c r="B90" s="137" t="s">
        <v>487</v>
      </c>
      <c r="C90" s="9" t="s">
        <v>488</v>
      </c>
      <c r="D90" s="6" t="s">
        <v>15</v>
      </c>
      <c r="E90" s="7">
        <v>10</v>
      </c>
      <c r="F90" s="7">
        <f>TRUNC(5.0958,2)</f>
        <v>5.09</v>
      </c>
      <c r="G90" s="7">
        <f t="shared" si="3"/>
        <v>50.9</v>
      </c>
    </row>
    <row r="91" spans="1:7" ht="24">
      <c r="A91" s="8"/>
      <c r="B91" s="137" t="s">
        <v>226</v>
      </c>
      <c r="C91" s="9" t="s">
        <v>227</v>
      </c>
      <c r="D91" s="6" t="s">
        <v>85</v>
      </c>
      <c r="E91" s="7">
        <v>1</v>
      </c>
      <c r="F91" s="7">
        <f>TRUNC(287.32,2)</f>
        <v>287.32</v>
      </c>
      <c r="G91" s="7">
        <f t="shared" si="3"/>
        <v>287.32</v>
      </c>
    </row>
    <row r="92" spans="1:7" ht="24">
      <c r="A92" s="8"/>
      <c r="B92" s="137" t="s">
        <v>399</v>
      </c>
      <c r="C92" s="9" t="s">
        <v>400</v>
      </c>
      <c r="D92" s="6" t="s">
        <v>15</v>
      </c>
      <c r="E92" s="7">
        <v>10</v>
      </c>
      <c r="F92" s="7">
        <f>TRUNC(4.7561,2)</f>
        <v>4.75</v>
      </c>
      <c r="G92" s="7">
        <f t="shared" si="3"/>
        <v>47.5</v>
      </c>
    </row>
    <row r="93" spans="1:7" ht="24">
      <c r="A93" s="8"/>
      <c r="B93" s="137" t="s">
        <v>489</v>
      </c>
      <c r="C93" s="9" t="s">
        <v>490</v>
      </c>
      <c r="D93" s="6" t="s">
        <v>15</v>
      </c>
      <c r="E93" s="7">
        <v>4</v>
      </c>
      <c r="F93" s="7">
        <f>TRUNC(4.6223,2)</f>
        <v>4.62</v>
      </c>
      <c r="G93" s="7">
        <f t="shared" si="3"/>
        <v>18.48</v>
      </c>
    </row>
    <row r="94" spans="1:7" ht="24">
      <c r="A94" s="8"/>
      <c r="B94" s="137" t="s">
        <v>424</v>
      </c>
      <c r="C94" s="9" t="s">
        <v>425</v>
      </c>
      <c r="D94" s="6" t="s">
        <v>15</v>
      </c>
      <c r="E94" s="7">
        <v>12</v>
      </c>
      <c r="F94" s="7">
        <f>TRUNC(4.6223,2)</f>
        <v>4.62</v>
      </c>
      <c r="G94" s="7">
        <f t="shared" si="3"/>
        <v>55.44</v>
      </c>
    </row>
    <row r="95" spans="1:7" ht="24">
      <c r="A95" s="8"/>
      <c r="B95" s="137" t="s">
        <v>491</v>
      </c>
      <c r="C95" s="9" t="s">
        <v>492</v>
      </c>
      <c r="D95" s="6" t="s">
        <v>15</v>
      </c>
      <c r="E95" s="7">
        <v>12</v>
      </c>
      <c r="F95" s="7">
        <f>TRUNC(4.8488,2)</f>
        <v>4.84</v>
      </c>
      <c r="G95" s="7">
        <f t="shared" si="3"/>
        <v>58.08</v>
      </c>
    </row>
    <row r="96" spans="1:7">
      <c r="A96" s="8"/>
      <c r="B96" s="137" t="s">
        <v>493</v>
      </c>
      <c r="C96" s="9" t="s">
        <v>494</v>
      </c>
      <c r="D96" s="6" t="s">
        <v>15</v>
      </c>
      <c r="E96" s="7">
        <v>1.8</v>
      </c>
      <c r="F96" s="7">
        <f>TRUNC(6.4,2)</f>
        <v>6.4</v>
      </c>
      <c r="G96" s="7">
        <f t="shared" si="3"/>
        <v>11.52</v>
      </c>
    </row>
    <row r="97" spans="1:7" ht="36">
      <c r="A97" s="8"/>
      <c r="B97" s="137" t="s">
        <v>82</v>
      </c>
      <c r="C97" s="9" t="s">
        <v>83</v>
      </c>
      <c r="D97" s="6" t="s">
        <v>8</v>
      </c>
      <c r="E97" s="7">
        <v>9.4245000000000001</v>
      </c>
      <c r="F97" s="7">
        <f>TRUNC(13.08,2)</f>
        <v>13.08</v>
      </c>
      <c r="G97" s="7">
        <f t="shared" si="3"/>
        <v>123.27</v>
      </c>
    </row>
    <row r="98" spans="1:7" ht="24">
      <c r="A98" s="8"/>
      <c r="B98" s="137" t="s">
        <v>86</v>
      </c>
      <c r="C98" s="9" t="s">
        <v>87</v>
      </c>
      <c r="D98" s="6" t="s">
        <v>8</v>
      </c>
      <c r="E98" s="7">
        <v>0.51500000000000001</v>
      </c>
      <c r="F98" s="7">
        <f>TRUNC(18.05,2)</f>
        <v>18.05</v>
      </c>
      <c r="G98" s="7">
        <f t="shared" si="3"/>
        <v>9.2899999999999991</v>
      </c>
    </row>
    <row r="99" spans="1:7" ht="36">
      <c r="A99" s="8"/>
      <c r="B99" s="137" t="s">
        <v>112</v>
      </c>
      <c r="C99" s="9" t="s">
        <v>113</v>
      </c>
      <c r="D99" s="6" t="s">
        <v>8</v>
      </c>
      <c r="E99" s="7">
        <v>0.51500000000000001</v>
      </c>
      <c r="F99" s="7">
        <f>TRUNC(18.05,2)</f>
        <v>18.05</v>
      </c>
      <c r="G99" s="7">
        <f t="shared" si="3"/>
        <v>9.2899999999999991</v>
      </c>
    </row>
    <row r="100" spans="1:7" ht="36">
      <c r="A100" s="8"/>
      <c r="B100" s="137" t="s">
        <v>228</v>
      </c>
      <c r="C100" s="9" t="s">
        <v>229</v>
      </c>
      <c r="D100" s="6" t="s">
        <v>8</v>
      </c>
      <c r="E100" s="7">
        <v>6.3345000000000002</v>
      </c>
      <c r="F100" s="7">
        <f>TRUNC(18.05,2)</f>
        <v>18.05</v>
      </c>
      <c r="G100" s="7">
        <f t="shared" si="3"/>
        <v>114.33</v>
      </c>
    </row>
    <row r="101" spans="1:7" ht="24">
      <c r="A101" s="8"/>
      <c r="B101" s="137" t="s">
        <v>230</v>
      </c>
      <c r="C101" s="9" t="s">
        <v>231</v>
      </c>
      <c r="D101" s="6" t="s">
        <v>8</v>
      </c>
      <c r="E101" s="7">
        <v>0.80500000000000005</v>
      </c>
      <c r="F101" s="7">
        <f>TRUNC(0.2441,2)</f>
        <v>0.24</v>
      </c>
      <c r="G101" s="7">
        <f t="shared" si="3"/>
        <v>0.19</v>
      </c>
    </row>
    <row r="102" spans="1:7" ht="24">
      <c r="A102" s="8"/>
      <c r="B102" s="137" t="s">
        <v>232</v>
      </c>
      <c r="C102" s="9" t="s">
        <v>233</v>
      </c>
      <c r="D102" s="6" t="s">
        <v>8</v>
      </c>
      <c r="E102" s="7">
        <v>0.34499999999999997</v>
      </c>
      <c r="F102" s="7">
        <f>TRUNC(1.1754,2)</f>
        <v>1.17</v>
      </c>
      <c r="G102" s="7">
        <f t="shared" si="3"/>
        <v>0.4</v>
      </c>
    </row>
    <row r="103" spans="1:7" ht="24">
      <c r="A103" s="8"/>
      <c r="B103" s="137" t="s">
        <v>495</v>
      </c>
      <c r="C103" s="9" t="s">
        <v>496</v>
      </c>
      <c r="D103" s="6" t="s">
        <v>78</v>
      </c>
      <c r="E103" s="7">
        <v>12</v>
      </c>
      <c r="F103" s="7">
        <f>TRUNC(59.4191,2)</f>
        <v>59.41</v>
      </c>
      <c r="G103" s="7">
        <f t="shared" si="3"/>
        <v>712.92</v>
      </c>
    </row>
    <row r="104" spans="1:7">
      <c r="A104" s="8"/>
      <c r="B104" s="137"/>
      <c r="C104" s="9"/>
      <c r="D104" s="6"/>
      <c r="E104" s="7" t="s">
        <v>23</v>
      </c>
      <c r="F104" s="7"/>
      <c r="G104" s="7">
        <f>TRUNC(SUM(G89:G103),2)</f>
        <v>1559.41</v>
      </c>
    </row>
    <row r="105" spans="1:7" ht="120">
      <c r="A105" s="8" t="str">
        <f>Orçamento!A28</f>
        <v>2.2</v>
      </c>
      <c r="B105" s="137" t="s">
        <v>219</v>
      </c>
      <c r="C105" s="9" t="s">
        <v>217</v>
      </c>
      <c r="D105" s="6" t="s">
        <v>78</v>
      </c>
      <c r="E105" s="7"/>
      <c r="F105" s="7">
        <f>TRUNC(G117,2)</f>
        <v>22.85</v>
      </c>
      <c r="G105" s="7"/>
    </row>
    <row r="106" spans="1:7">
      <c r="A106" s="8"/>
      <c r="B106" s="91" t="s">
        <v>166</v>
      </c>
      <c r="C106" s="22" t="s">
        <v>205</v>
      </c>
      <c r="D106" s="6"/>
      <c r="E106" s="7"/>
      <c r="F106" s="7"/>
      <c r="G106" s="7"/>
    </row>
    <row r="107" spans="1:7" ht="108">
      <c r="A107" s="8"/>
      <c r="B107" s="137" t="s">
        <v>206</v>
      </c>
      <c r="C107" s="9" t="s">
        <v>216</v>
      </c>
      <c r="D107" s="6" t="s">
        <v>85</v>
      </c>
      <c r="E107" s="7">
        <v>1</v>
      </c>
      <c r="F107" s="7">
        <f>TRUNC(1514.4274,2)</f>
        <v>1514.42</v>
      </c>
      <c r="G107" s="7">
        <f>TRUNC(E107*F107,2)</f>
        <v>1514.42</v>
      </c>
    </row>
    <row r="108" spans="1:7">
      <c r="A108" s="8"/>
      <c r="B108" s="137" t="s">
        <v>207</v>
      </c>
      <c r="C108" s="9" t="s">
        <v>208</v>
      </c>
      <c r="D108" s="6" t="s">
        <v>15</v>
      </c>
      <c r="E108" s="7">
        <v>24</v>
      </c>
      <c r="F108" s="7">
        <v>1.3</v>
      </c>
      <c r="G108" s="7">
        <f>TRUNC(E108*F108,2)</f>
        <v>31.2</v>
      </c>
    </row>
    <row r="109" spans="1:7">
      <c r="A109" s="8"/>
      <c r="B109" s="137" t="s">
        <v>209</v>
      </c>
      <c r="C109" s="9" t="s">
        <v>210</v>
      </c>
      <c r="D109" s="6" t="s">
        <v>15</v>
      </c>
      <c r="E109" s="7">
        <v>50</v>
      </c>
      <c r="F109" s="7">
        <v>20.39</v>
      </c>
      <c r="G109" s="7">
        <f>TRUNC(E109*F109,2)</f>
        <v>1019.5</v>
      </c>
    </row>
    <row r="110" spans="1:7" ht="24">
      <c r="A110" s="8"/>
      <c r="B110" s="137" t="s">
        <v>107</v>
      </c>
      <c r="C110" s="9" t="s">
        <v>211</v>
      </c>
      <c r="D110" s="6" t="s">
        <v>15</v>
      </c>
      <c r="E110" s="7">
        <v>400</v>
      </c>
      <c r="F110" s="7">
        <v>0.33</v>
      </c>
      <c r="G110" s="7">
        <f>TRUNC(E110*F110,2)</f>
        <v>132</v>
      </c>
    </row>
    <row r="111" spans="1:7" ht="24">
      <c r="A111" s="8"/>
      <c r="B111" s="137" t="s">
        <v>110</v>
      </c>
      <c r="C111" s="9" t="s">
        <v>111</v>
      </c>
      <c r="D111" s="6" t="s">
        <v>85</v>
      </c>
      <c r="E111" s="7">
        <v>1.2649999999999999</v>
      </c>
      <c r="F111" s="7">
        <v>56.5</v>
      </c>
      <c r="G111" s="7"/>
    </row>
    <row r="112" spans="1:7" ht="24">
      <c r="A112" s="8"/>
      <c r="B112" s="137" t="s">
        <v>147</v>
      </c>
      <c r="C112" s="9" t="s">
        <v>148</v>
      </c>
      <c r="D112" s="6" t="s">
        <v>85</v>
      </c>
      <c r="E112" s="7">
        <v>1.2649999999999999</v>
      </c>
      <c r="F112" s="7">
        <v>60</v>
      </c>
      <c r="G112" s="7">
        <f>TRUNC(E112*F112,2)</f>
        <v>75.900000000000006</v>
      </c>
    </row>
    <row r="113" spans="1:7" ht="36">
      <c r="A113" s="8"/>
      <c r="B113" s="137" t="s">
        <v>212</v>
      </c>
      <c r="C113" s="9" t="s">
        <v>213</v>
      </c>
      <c r="D113" s="6" t="s">
        <v>8</v>
      </c>
      <c r="E113" s="7">
        <v>6.18</v>
      </c>
      <c r="F113" s="7">
        <v>15.09</v>
      </c>
      <c r="G113" s="7">
        <f>TRUNC(E113*F113,2)</f>
        <v>93.25</v>
      </c>
    </row>
    <row r="114" spans="1:7" ht="24">
      <c r="A114" s="8"/>
      <c r="B114" s="137" t="s">
        <v>214</v>
      </c>
      <c r="C114" s="9" t="s">
        <v>215</v>
      </c>
      <c r="D114" s="6" t="s">
        <v>8</v>
      </c>
      <c r="E114" s="7">
        <v>8.24</v>
      </c>
      <c r="F114" s="7">
        <v>20.83</v>
      </c>
      <c r="G114" s="7">
        <f>TRUNC(E114*F114,2)</f>
        <v>171.63</v>
      </c>
    </row>
    <row r="115" spans="1:7">
      <c r="A115" s="8"/>
      <c r="B115" s="137"/>
      <c r="C115" s="9"/>
      <c r="D115" s="6"/>
      <c r="E115" s="7" t="s">
        <v>169</v>
      </c>
      <c r="F115" s="7"/>
      <c r="G115" s="7">
        <f>TRUNC(SUM(G108:G114),2)</f>
        <v>1523.48</v>
      </c>
    </row>
    <row r="116" spans="1:7">
      <c r="A116" s="8"/>
      <c r="B116" s="137"/>
      <c r="C116" s="9"/>
      <c r="D116" s="6"/>
      <c r="E116" s="7" t="s">
        <v>218</v>
      </c>
      <c r="F116" s="7"/>
      <c r="G116" s="106">
        <v>1.4999999999999999E-2</v>
      </c>
    </row>
    <row r="117" spans="1:7">
      <c r="A117" s="8"/>
      <c r="B117" s="137"/>
      <c r="C117" s="9"/>
      <c r="D117" s="6"/>
      <c r="E117" s="7" t="s">
        <v>23</v>
      </c>
      <c r="F117" s="7"/>
      <c r="G117" s="7">
        <f>TRUNC(G115*G116,2)</f>
        <v>22.85</v>
      </c>
    </row>
    <row r="118" spans="1:7" ht="96">
      <c r="A118" s="8" t="str">
        <f>Orçamento!A29</f>
        <v>2.3</v>
      </c>
      <c r="B118" s="137" t="s">
        <v>630</v>
      </c>
      <c r="C118" s="9" t="s">
        <v>101</v>
      </c>
      <c r="D118" s="6" t="s">
        <v>79</v>
      </c>
      <c r="E118" s="7">
        <v>1</v>
      </c>
      <c r="F118" s="7">
        <f>TRUNC(50.5329009,2)</f>
        <v>50.53</v>
      </c>
      <c r="G118" s="7">
        <f t="shared" ref="G118:G125" si="4">TRUNC(E118*F118,2)</f>
        <v>50.53</v>
      </c>
    </row>
    <row r="119" spans="1:7" ht="36">
      <c r="A119" s="8"/>
      <c r="B119" s="137" t="s">
        <v>82</v>
      </c>
      <c r="C119" s="9" t="s">
        <v>83</v>
      </c>
      <c r="D119" s="6" t="s">
        <v>8</v>
      </c>
      <c r="E119" s="7">
        <v>1.3729899999999999</v>
      </c>
      <c r="F119" s="7">
        <f>TRUNC(13.08,2)</f>
        <v>13.08</v>
      </c>
      <c r="G119" s="7">
        <f t="shared" si="4"/>
        <v>17.95</v>
      </c>
    </row>
    <row r="120" spans="1:7" ht="24">
      <c r="A120" s="8"/>
      <c r="B120" s="137" t="s">
        <v>102</v>
      </c>
      <c r="C120" s="9" t="s">
        <v>103</v>
      </c>
      <c r="D120" s="6" t="s">
        <v>8</v>
      </c>
      <c r="E120" s="7">
        <v>0.17201000000000002</v>
      </c>
      <c r="F120" s="7">
        <f>TRUNC(18.05,2)</f>
        <v>18.05</v>
      </c>
      <c r="G120" s="7">
        <f t="shared" si="4"/>
        <v>3.1</v>
      </c>
    </row>
    <row r="121" spans="1:7" ht="24">
      <c r="A121" s="8"/>
      <c r="B121" s="137" t="s">
        <v>631</v>
      </c>
      <c r="C121" s="9" t="s">
        <v>632</v>
      </c>
      <c r="D121" s="6" t="s">
        <v>78</v>
      </c>
      <c r="E121" s="7">
        <v>0.62</v>
      </c>
      <c r="F121" s="7">
        <f>TRUNC(25.1563,2)</f>
        <v>25.15</v>
      </c>
      <c r="G121" s="7">
        <f t="shared" si="4"/>
        <v>15.59</v>
      </c>
    </row>
    <row r="122" spans="1:7" ht="24">
      <c r="A122" s="8"/>
      <c r="B122" s="137" t="s">
        <v>633</v>
      </c>
      <c r="C122" s="9" t="s">
        <v>634</v>
      </c>
      <c r="D122" s="6" t="s">
        <v>85</v>
      </c>
      <c r="E122" s="7">
        <v>4.2000000000000003E-2</v>
      </c>
      <c r="F122" s="7">
        <f>TRUNC(58.9973,2)</f>
        <v>58.99</v>
      </c>
      <c r="G122" s="7">
        <f t="shared" si="4"/>
        <v>2.4700000000000002</v>
      </c>
    </row>
    <row r="123" spans="1:7" ht="24">
      <c r="A123" s="8"/>
      <c r="B123" s="137" t="s">
        <v>635</v>
      </c>
      <c r="C123" s="9" t="s">
        <v>636</v>
      </c>
      <c r="D123" s="6" t="s">
        <v>85</v>
      </c>
      <c r="E123" s="7">
        <v>4.2000000000000003E-2</v>
      </c>
      <c r="F123" s="7">
        <f>TRUNC(50.5004,2)</f>
        <v>50.5</v>
      </c>
      <c r="G123" s="7">
        <f t="shared" si="4"/>
        <v>2.12</v>
      </c>
    </row>
    <row r="124" spans="1:7">
      <c r="A124" s="8"/>
      <c r="B124" s="137" t="s">
        <v>540</v>
      </c>
      <c r="C124" s="9" t="s">
        <v>541</v>
      </c>
      <c r="D124" s="6" t="s">
        <v>85</v>
      </c>
      <c r="E124" s="7">
        <v>4.2000000000000003E-2</v>
      </c>
      <c r="F124" s="7">
        <f>TRUNC(205.6994,2)</f>
        <v>205.69</v>
      </c>
      <c r="G124" s="7">
        <f t="shared" si="4"/>
        <v>8.6300000000000008</v>
      </c>
    </row>
    <row r="125" spans="1:7" ht="24">
      <c r="A125" s="8"/>
      <c r="B125" s="137" t="s">
        <v>104</v>
      </c>
      <c r="C125" s="9" t="s">
        <v>105</v>
      </c>
      <c r="D125" s="6" t="s">
        <v>85</v>
      </c>
      <c r="E125" s="7">
        <v>2.5000000000000001E-3</v>
      </c>
      <c r="F125" s="7">
        <f>TRUNC(253.6908,2)</f>
        <v>253.69</v>
      </c>
      <c r="G125" s="7">
        <f t="shared" si="4"/>
        <v>0.63</v>
      </c>
    </row>
    <row r="126" spans="1:7">
      <c r="A126" s="8"/>
      <c r="B126" s="137"/>
      <c r="C126" s="9"/>
      <c r="D126" s="6"/>
      <c r="E126" s="7" t="s">
        <v>23</v>
      </c>
      <c r="F126" s="7"/>
      <c r="G126" s="7">
        <f>TRUNC(SUM(G119:G125),2)</f>
        <v>50.49</v>
      </c>
    </row>
    <row r="127" spans="1:7" ht="104.25" customHeight="1">
      <c r="A127" s="8" t="str">
        <f>Orçamento!A30</f>
        <v>2.4</v>
      </c>
      <c r="B127" s="137" t="s">
        <v>225</v>
      </c>
      <c r="C127" s="9" t="s">
        <v>497</v>
      </c>
      <c r="D127" s="6" t="s">
        <v>85</v>
      </c>
      <c r="E127" s="7"/>
      <c r="F127" s="7">
        <f>TRUNC(G136,2)</f>
        <v>84.06</v>
      </c>
      <c r="G127" s="7"/>
    </row>
    <row r="128" spans="1:7">
      <c r="A128" s="8"/>
      <c r="B128" s="91" t="s">
        <v>166</v>
      </c>
      <c r="C128" s="22" t="s">
        <v>205</v>
      </c>
      <c r="D128" s="6"/>
      <c r="E128" s="7"/>
      <c r="F128" s="7"/>
      <c r="G128" s="7"/>
    </row>
    <row r="129" spans="1:7" ht="120">
      <c r="A129" s="8"/>
      <c r="B129" s="137" t="s">
        <v>221</v>
      </c>
      <c r="C129" s="9" t="s">
        <v>222</v>
      </c>
      <c r="D129" s="6" t="s">
        <v>85</v>
      </c>
      <c r="E129" s="7">
        <v>1</v>
      </c>
      <c r="F129" s="7">
        <v>134.6</v>
      </c>
      <c r="G129" s="7"/>
    </row>
    <row r="130" spans="1:7" ht="36">
      <c r="A130" s="8"/>
      <c r="B130" s="137" t="s">
        <v>82</v>
      </c>
      <c r="C130" s="9" t="s">
        <v>83</v>
      </c>
      <c r="D130" s="6" t="s">
        <v>8</v>
      </c>
      <c r="E130" s="7">
        <v>8.4975000000000005</v>
      </c>
      <c r="F130" s="7">
        <v>13.08</v>
      </c>
      <c r="G130" s="7"/>
    </row>
    <row r="131" spans="1:7" ht="24">
      <c r="A131" s="8"/>
      <c r="B131" s="137" t="s">
        <v>90</v>
      </c>
      <c r="C131" s="9" t="s">
        <v>91</v>
      </c>
      <c r="D131" s="6" t="s">
        <v>8</v>
      </c>
      <c r="E131" s="7">
        <v>0.41</v>
      </c>
      <c r="F131" s="7">
        <v>43.8</v>
      </c>
      <c r="G131" s="7">
        <f>TRUNC(E131*F131,2)</f>
        <v>17.95</v>
      </c>
    </row>
    <row r="132" spans="1:7" ht="24">
      <c r="A132" s="8"/>
      <c r="B132" s="137" t="s">
        <v>92</v>
      </c>
      <c r="C132" s="9" t="s">
        <v>93</v>
      </c>
      <c r="D132" s="6" t="s">
        <v>8</v>
      </c>
      <c r="E132" s="7">
        <v>4.2999999999999997E-2</v>
      </c>
      <c r="F132" s="7">
        <v>127.9</v>
      </c>
      <c r="G132" s="7">
        <f>TRUNC(E132*F132,2)</f>
        <v>5.49</v>
      </c>
    </row>
    <row r="133" spans="1:7">
      <c r="A133" s="8"/>
      <c r="B133" s="137"/>
      <c r="C133" s="9"/>
      <c r="D133" s="6"/>
      <c r="E133" s="7" t="s">
        <v>23</v>
      </c>
      <c r="F133" s="7"/>
      <c r="G133" s="7"/>
    </row>
    <row r="134" spans="1:7" ht="96">
      <c r="A134" s="8"/>
      <c r="B134" s="137" t="s">
        <v>223</v>
      </c>
      <c r="C134" s="9" t="s">
        <v>224</v>
      </c>
      <c r="D134" s="6" t="s">
        <v>85</v>
      </c>
      <c r="E134" s="7">
        <v>1</v>
      </c>
      <c r="F134" s="7">
        <f>TRUNC(58.1229,2)</f>
        <v>58.12</v>
      </c>
      <c r="G134" s="7"/>
    </row>
    <row r="135" spans="1:7" ht="36">
      <c r="A135" s="8"/>
      <c r="B135" s="137" t="s">
        <v>82</v>
      </c>
      <c r="C135" s="9" t="s">
        <v>83</v>
      </c>
      <c r="D135" s="6" t="s">
        <v>8</v>
      </c>
      <c r="E135" s="7">
        <v>4.6349999999999998</v>
      </c>
      <c r="F135" s="7">
        <v>13.08</v>
      </c>
      <c r="G135" s="7">
        <f>TRUNC(E135*F135,2)</f>
        <v>60.62</v>
      </c>
    </row>
    <row r="136" spans="1:7">
      <c r="A136" s="8"/>
      <c r="B136" s="137"/>
      <c r="C136" s="9"/>
      <c r="D136" s="6"/>
      <c r="E136" s="7" t="s">
        <v>23</v>
      </c>
      <c r="F136" s="7"/>
      <c r="G136" s="7">
        <f>SUM(G129:G135)</f>
        <v>84.06</v>
      </c>
    </row>
    <row r="137" spans="1:7">
      <c r="A137" s="17" t="str">
        <f>Orçamento!A32</f>
        <v>3.0</v>
      </c>
      <c r="B137" s="17"/>
      <c r="C137" s="17" t="str">
        <f>Orçamento!C32</f>
        <v>URBANIZAÇÃO</v>
      </c>
      <c r="D137" s="6"/>
      <c r="E137" s="7"/>
      <c r="F137" s="7"/>
      <c r="G137" s="7"/>
    </row>
    <row r="138" spans="1:7">
      <c r="A138" s="8" t="str">
        <f>Orçamento!A33</f>
        <v>3.1</v>
      </c>
      <c r="B138" s="137"/>
      <c r="C138" s="8" t="str">
        <f>Orçamento!C33</f>
        <v>JARDINEIRAS</v>
      </c>
      <c r="D138" s="6"/>
      <c r="E138" s="7"/>
      <c r="F138" s="7"/>
      <c r="G138" s="7"/>
    </row>
    <row r="139" spans="1:7" ht="60">
      <c r="A139" s="8" t="str">
        <f>Orçamento!A34</f>
        <v>3.1.1</v>
      </c>
      <c r="B139" s="137" t="s">
        <v>88</v>
      </c>
      <c r="C139" s="9" t="s">
        <v>133</v>
      </c>
      <c r="D139" s="6" t="s">
        <v>85</v>
      </c>
      <c r="E139" s="7">
        <v>1</v>
      </c>
      <c r="F139" s="7">
        <f>TRUNC(32.33376,2)</f>
        <v>32.33</v>
      </c>
      <c r="G139" s="7">
        <f>TRUNC(E139*F139,2)</f>
        <v>32.33</v>
      </c>
    </row>
    <row r="140" spans="1:7" ht="36">
      <c r="A140" s="8"/>
      <c r="B140" s="137" t="s">
        <v>82</v>
      </c>
      <c r="C140" s="9" t="s">
        <v>83</v>
      </c>
      <c r="D140" s="6" t="s">
        <v>8</v>
      </c>
      <c r="E140" s="7">
        <v>2.472</v>
      </c>
      <c r="F140" s="7">
        <f>TRUNC(13.08,2)</f>
        <v>13.08</v>
      </c>
      <c r="G140" s="7">
        <f>TRUNC(E140*F140,2)</f>
        <v>32.33</v>
      </c>
    </row>
    <row r="141" spans="1:7">
      <c r="A141" s="8"/>
      <c r="B141" s="137"/>
      <c r="C141" s="9"/>
      <c r="D141" s="6"/>
      <c r="E141" s="7" t="s">
        <v>23</v>
      </c>
      <c r="F141" s="7"/>
      <c r="G141" s="7">
        <f>TRUNC(SUM(G140:G140),2)</f>
        <v>32.33</v>
      </c>
    </row>
    <row r="142" spans="1:7" ht="36">
      <c r="A142" s="8" t="str">
        <f>Orçamento!A35</f>
        <v>3.1.2</v>
      </c>
      <c r="B142" s="137" t="s">
        <v>234</v>
      </c>
      <c r="C142" s="9" t="s">
        <v>498</v>
      </c>
      <c r="D142" s="6" t="s">
        <v>79</v>
      </c>
      <c r="E142" s="7">
        <v>1</v>
      </c>
      <c r="F142" s="7">
        <f>TRUNC(10.1043,2)</f>
        <v>10.1</v>
      </c>
      <c r="G142" s="7">
        <f>TRUNC(E142*F142,2)</f>
        <v>10.1</v>
      </c>
    </row>
    <row r="143" spans="1:7" ht="36">
      <c r="A143" s="8"/>
      <c r="B143" s="137" t="s">
        <v>82</v>
      </c>
      <c r="C143" s="9" t="s">
        <v>83</v>
      </c>
      <c r="D143" s="6" t="s">
        <v>8</v>
      </c>
      <c r="E143" s="7">
        <v>0.77249999999999996</v>
      </c>
      <c r="F143" s="7">
        <f>TRUNC(13.08,2)</f>
        <v>13.08</v>
      </c>
      <c r="G143" s="7">
        <f>TRUNC(E143*F143,2)</f>
        <v>10.1</v>
      </c>
    </row>
    <row r="144" spans="1:7">
      <c r="A144" s="8"/>
      <c r="B144" s="137"/>
      <c r="C144" s="9"/>
      <c r="D144" s="6"/>
      <c r="E144" s="7" t="s">
        <v>23</v>
      </c>
      <c r="F144" s="7"/>
      <c r="G144" s="7">
        <f>TRUNC(SUM(G143:G143),2)</f>
        <v>10.1</v>
      </c>
    </row>
    <row r="145" spans="1:7" ht="132">
      <c r="A145" s="8" t="str">
        <f>Orçamento!A36</f>
        <v>3.1.3</v>
      </c>
      <c r="B145" s="137" t="s">
        <v>203</v>
      </c>
      <c r="C145" s="9" t="s">
        <v>204</v>
      </c>
      <c r="D145" s="6" t="s">
        <v>85</v>
      </c>
      <c r="E145" s="7">
        <v>1</v>
      </c>
      <c r="F145" s="7">
        <f>TRUNC(1559.8670985,2)</f>
        <v>1559.86</v>
      </c>
      <c r="G145" s="7">
        <f t="shared" ref="G145:G160" si="5">TRUNC(E145*F145,2)</f>
        <v>1559.86</v>
      </c>
    </row>
    <row r="146" spans="1:7" ht="24">
      <c r="A146" s="8"/>
      <c r="B146" s="137" t="s">
        <v>485</v>
      </c>
      <c r="C146" s="9" t="s">
        <v>486</v>
      </c>
      <c r="D146" s="6" t="s">
        <v>15</v>
      </c>
      <c r="E146" s="7">
        <v>12</v>
      </c>
      <c r="F146" s="7">
        <f>TRUNC(5.0444,2)</f>
        <v>5.04</v>
      </c>
      <c r="G146" s="7">
        <f t="shared" si="5"/>
        <v>60.48</v>
      </c>
    </row>
    <row r="147" spans="1:7" ht="24">
      <c r="A147" s="8"/>
      <c r="B147" s="137" t="s">
        <v>487</v>
      </c>
      <c r="C147" s="9" t="s">
        <v>488</v>
      </c>
      <c r="D147" s="6" t="s">
        <v>15</v>
      </c>
      <c r="E147" s="7">
        <v>10</v>
      </c>
      <c r="F147" s="7">
        <f>TRUNC(5.0958,2)</f>
        <v>5.09</v>
      </c>
      <c r="G147" s="7">
        <f t="shared" si="5"/>
        <v>50.9</v>
      </c>
    </row>
    <row r="148" spans="1:7" ht="24">
      <c r="A148" s="8"/>
      <c r="B148" s="137" t="s">
        <v>226</v>
      </c>
      <c r="C148" s="9" t="s">
        <v>227</v>
      </c>
      <c r="D148" s="6" t="s">
        <v>85</v>
      </c>
      <c r="E148" s="7">
        <v>1</v>
      </c>
      <c r="F148" s="7">
        <f>TRUNC(287.32,2)</f>
        <v>287.32</v>
      </c>
      <c r="G148" s="7">
        <f t="shared" si="5"/>
        <v>287.32</v>
      </c>
    </row>
    <row r="149" spans="1:7" ht="24">
      <c r="A149" s="8"/>
      <c r="B149" s="137" t="s">
        <v>399</v>
      </c>
      <c r="C149" s="9" t="s">
        <v>400</v>
      </c>
      <c r="D149" s="6" t="s">
        <v>15</v>
      </c>
      <c r="E149" s="7">
        <v>10</v>
      </c>
      <c r="F149" s="7">
        <f>TRUNC(4.7561,2)</f>
        <v>4.75</v>
      </c>
      <c r="G149" s="7">
        <f t="shared" si="5"/>
        <v>47.5</v>
      </c>
    </row>
    <row r="150" spans="1:7" ht="24">
      <c r="A150" s="8"/>
      <c r="B150" s="137" t="s">
        <v>489</v>
      </c>
      <c r="C150" s="9" t="s">
        <v>490</v>
      </c>
      <c r="D150" s="6" t="s">
        <v>15</v>
      </c>
      <c r="E150" s="7">
        <v>4</v>
      </c>
      <c r="F150" s="7">
        <f>TRUNC(4.6223,2)</f>
        <v>4.62</v>
      </c>
      <c r="G150" s="7">
        <f t="shared" si="5"/>
        <v>18.48</v>
      </c>
    </row>
    <row r="151" spans="1:7" ht="24">
      <c r="A151" s="8"/>
      <c r="B151" s="137" t="s">
        <v>424</v>
      </c>
      <c r="C151" s="9" t="s">
        <v>425</v>
      </c>
      <c r="D151" s="6" t="s">
        <v>15</v>
      </c>
      <c r="E151" s="7">
        <v>12</v>
      </c>
      <c r="F151" s="7">
        <f>TRUNC(4.6223,2)</f>
        <v>4.62</v>
      </c>
      <c r="G151" s="7">
        <f t="shared" si="5"/>
        <v>55.44</v>
      </c>
    </row>
    <row r="152" spans="1:7" ht="24">
      <c r="A152" s="8"/>
      <c r="B152" s="137" t="s">
        <v>491</v>
      </c>
      <c r="C152" s="9" t="s">
        <v>492</v>
      </c>
      <c r="D152" s="6" t="s">
        <v>15</v>
      </c>
      <c r="E152" s="7">
        <v>12</v>
      </c>
      <c r="F152" s="7">
        <f>TRUNC(4.8488,2)</f>
        <v>4.84</v>
      </c>
      <c r="G152" s="7">
        <f t="shared" si="5"/>
        <v>58.08</v>
      </c>
    </row>
    <row r="153" spans="1:7">
      <c r="A153" s="8"/>
      <c r="B153" s="137" t="s">
        <v>493</v>
      </c>
      <c r="C153" s="9" t="s">
        <v>494</v>
      </c>
      <c r="D153" s="6" t="s">
        <v>15</v>
      </c>
      <c r="E153" s="7">
        <v>1.8</v>
      </c>
      <c r="F153" s="7">
        <f>TRUNC(6.4,2)</f>
        <v>6.4</v>
      </c>
      <c r="G153" s="7">
        <f t="shared" si="5"/>
        <v>11.52</v>
      </c>
    </row>
    <row r="154" spans="1:7" ht="36">
      <c r="A154" s="8"/>
      <c r="B154" s="137" t="s">
        <v>82</v>
      </c>
      <c r="C154" s="9" t="s">
        <v>83</v>
      </c>
      <c r="D154" s="6" t="s">
        <v>8</v>
      </c>
      <c r="E154" s="7">
        <v>9.4245000000000001</v>
      </c>
      <c r="F154" s="7">
        <f>TRUNC(13.08,2)</f>
        <v>13.08</v>
      </c>
      <c r="G154" s="7">
        <f t="shared" si="5"/>
        <v>123.27</v>
      </c>
    </row>
    <row r="155" spans="1:7" ht="24">
      <c r="A155" s="8"/>
      <c r="B155" s="137" t="s">
        <v>86</v>
      </c>
      <c r="C155" s="9" t="s">
        <v>87</v>
      </c>
      <c r="D155" s="6" t="s">
        <v>8</v>
      </c>
      <c r="E155" s="7">
        <v>0.51500000000000001</v>
      </c>
      <c r="F155" s="7">
        <f>TRUNC(18.05,2)</f>
        <v>18.05</v>
      </c>
      <c r="G155" s="7">
        <f t="shared" si="5"/>
        <v>9.2899999999999991</v>
      </c>
    </row>
    <row r="156" spans="1:7" ht="36">
      <c r="A156" s="8"/>
      <c r="B156" s="137" t="s">
        <v>112</v>
      </c>
      <c r="C156" s="9" t="s">
        <v>113</v>
      </c>
      <c r="D156" s="6" t="s">
        <v>8</v>
      </c>
      <c r="E156" s="7">
        <v>0.51500000000000001</v>
      </c>
      <c r="F156" s="7">
        <f>TRUNC(18.05,2)</f>
        <v>18.05</v>
      </c>
      <c r="G156" s="7">
        <f t="shared" si="5"/>
        <v>9.2899999999999991</v>
      </c>
    </row>
    <row r="157" spans="1:7" ht="36">
      <c r="A157" s="8"/>
      <c r="B157" s="137" t="s">
        <v>228</v>
      </c>
      <c r="C157" s="9" t="s">
        <v>229</v>
      </c>
      <c r="D157" s="6" t="s">
        <v>8</v>
      </c>
      <c r="E157" s="7">
        <v>6.3345000000000002</v>
      </c>
      <c r="F157" s="7">
        <f>TRUNC(18.05,2)</f>
        <v>18.05</v>
      </c>
      <c r="G157" s="7">
        <f t="shared" si="5"/>
        <v>114.33</v>
      </c>
    </row>
    <row r="158" spans="1:7" ht="24">
      <c r="A158" s="8"/>
      <c r="B158" s="137" t="s">
        <v>230</v>
      </c>
      <c r="C158" s="9" t="s">
        <v>231</v>
      </c>
      <c r="D158" s="6" t="s">
        <v>8</v>
      </c>
      <c r="E158" s="7">
        <v>0.80500000000000005</v>
      </c>
      <c r="F158" s="7">
        <f>TRUNC(0.2441,2)</f>
        <v>0.24</v>
      </c>
      <c r="G158" s="7">
        <f t="shared" si="5"/>
        <v>0.19</v>
      </c>
    </row>
    <row r="159" spans="1:7" ht="24">
      <c r="A159" s="8"/>
      <c r="B159" s="137" t="s">
        <v>232</v>
      </c>
      <c r="C159" s="9" t="s">
        <v>233</v>
      </c>
      <c r="D159" s="6" t="s">
        <v>8</v>
      </c>
      <c r="E159" s="7">
        <v>0.34499999999999997</v>
      </c>
      <c r="F159" s="7">
        <f>TRUNC(1.1754,2)</f>
        <v>1.17</v>
      </c>
      <c r="G159" s="7">
        <f t="shared" si="5"/>
        <v>0.4</v>
      </c>
    </row>
    <row r="160" spans="1:7" ht="24">
      <c r="A160" s="8"/>
      <c r="B160" s="137" t="s">
        <v>495</v>
      </c>
      <c r="C160" s="9" t="s">
        <v>496</v>
      </c>
      <c r="D160" s="6" t="s">
        <v>78</v>
      </c>
      <c r="E160" s="7">
        <v>12</v>
      </c>
      <c r="F160" s="7">
        <f>TRUNC(59.4191,2)</f>
        <v>59.41</v>
      </c>
      <c r="G160" s="7">
        <f t="shared" si="5"/>
        <v>712.92</v>
      </c>
    </row>
    <row r="161" spans="1:7">
      <c r="A161" s="8"/>
      <c r="B161" s="137"/>
      <c r="C161" s="9"/>
      <c r="D161" s="6"/>
      <c r="E161" s="7" t="s">
        <v>23</v>
      </c>
      <c r="F161" s="7"/>
      <c r="G161" s="7">
        <f>TRUNC(SUM(G146:G160),2)</f>
        <v>1559.41</v>
      </c>
    </row>
    <row r="162" spans="1:7" ht="60">
      <c r="A162" s="8" t="str">
        <f>Orçamento!A37</f>
        <v>3.1.4</v>
      </c>
      <c r="B162" s="137" t="s">
        <v>240</v>
      </c>
      <c r="C162" s="9" t="s">
        <v>499</v>
      </c>
      <c r="D162" s="6" t="s">
        <v>85</v>
      </c>
      <c r="E162" s="7">
        <v>1</v>
      </c>
      <c r="F162" s="7">
        <f>TRUNC(17.8697553,2)</f>
        <v>17.86</v>
      </c>
      <c r="G162" s="7">
        <f>TRUNC(E162*F162,2)</f>
        <v>17.86</v>
      </c>
    </row>
    <row r="163" spans="1:7" ht="36">
      <c r="A163" s="8"/>
      <c r="B163" s="137" t="s">
        <v>82</v>
      </c>
      <c r="C163" s="9" t="s">
        <v>83</v>
      </c>
      <c r="D163" s="6" t="s">
        <v>8</v>
      </c>
      <c r="E163" s="7">
        <v>1.09901</v>
      </c>
      <c r="F163" s="7">
        <f>TRUNC(13.08,2)</f>
        <v>13.08</v>
      </c>
      <c r="G163" s="7">
        <f>TRUNC(E163*F163,2)</f>
        <v>14.37</v>
      </c>
    </row>
    <row r="164" spans="1:7" ht="36">
      <c r="A164" s="8"/>
      <c r="B164" s="137" t="s">
        <v>463</v>
      </c>
      <c r="C164" s="9" t="s">
        <v>464</v>
      </c>
      <c r="D164" s="6" t="s">
        <v>8</v>
      </c>
      <c r="E164" s="7">
        <v>0.13699</v>
      </c>
      <c r="F164" s="7">
        <f>TRUNC(20.29,2)</f>
        <v>20.29</v>
      </c>
      <c r="G164" s="7">
        <f>TRUNC(E164*F164,2)</f>
        <v>2.77</v>
      </c>
    </row>
    <row r="165" spans="1:7" ht="24">
      <c r="A165" s="8"/>
      <c r="B165" s="137" t="s">
        <v>263</v>
      </c>
      <c r="C165" s="9" t="s">
        <v>264</v>
      </c>
      <c r="D165" s="6" t="s">
        <v>8</v>
      </c>
      <c r="E165" s="7">
        <v>3.3000000000000002E-2</v>
      </c>
      <c r="F165" s="7">
        <f>TRUNC(1.3478,2)</f>
        <v>1.34</v>
      </c>
      <c r="G165" s="7">
        <f>TRUNC(E165*F165,2)</f>
        <v>0.04</v>
      </c>
    </row>
    <row r="166" spans="1:7" ht="24">
      <c r="A166" s="8"/>
      <c r="B166" s="137" t="s">
        <v>259</v>
      </c>
      <c r="C166" s="9" t="s">
        <v>260</v>
      </c>
      <c r="D166" s="6" t="s">
        <v>8</v>
      </c>
      <c r="E166" s="7">
        <v>0.1</v>
      </c>
      <c r="F166" s="7">
        <f>TRUNC(6.707,2)</f>
        <v>6.7</v>
      </c>
      <c r="G166" s="7">
        <f>TRUNC(E166*F166,2)</f>
        <v>0.67</v>
      </c>
    </row>
    <row r="167" spans="1:7">
      <c r="A167" s="8"/>
      <c r="B167" s="137"/>
      <c r="C167" s="9"/>
      <c r="D167" s="6"/>
      <c r="E167" s="7" t="s">
        <v>23</v>
      </c>
      <c r="F167" s="7"/>
      <c r="G167" s="7">
        <f>TRUNC(SUM(G163:G166),2)</f>
        <v>17.850000000000001</v>
      </c>
    </row>
    <row r="168" spans="1:7" ht="84">
      <c r="A168" s="8" t="str">
        <f>Orçamento!A38</f>
        <v>3.1.5</v>
      </c>
      <c r="B168" s="137" t="s">
        <v>242</v>
      </c>
      <c r="C168" s="9" t="s">
        <v>243</v>
      </c>
      <c r="D168" s="6" t="s">
        <v>78</v>
      </c>
      <c r="E168" s="7">
        <v>1</v>
      </c>
      <c r="F168" s="7">
        <f>TRUNC(54.224478,2)</f>
        <v>54.22</v>
      </c>
      <c r="G168" s="7">
        <f>TRUNC(E168*F168,2)</f>
        <v>54.22</v>
      </c>
    </row>
    <row r="169" spans="1:7" ht="24">
      <c r="A169" s="8"/>
      <c r="B169" s="137" t="s">
        <v>500</v>
      </c>
      <c r="C169" s="9" t="s">
        <v>501</v>
      </c>
      <c r="D169" s="6" t="s">
        <v>14</v>
      </c>
      <c r="E169" s="7">
        <v>13</v>
      </c>
      <c r="F169" s="7">
        <f>TRUNC(1.85,2)</f>
        <v>1.85</v>
      </c>
      <c r="G169" s="7">
        <f>TRUNC(E169*F169,2)</f>
        <v>24.05</v>
      </c>
    </row>
    <row r="170" spans="1:7" ht="36">
      <c r="A170" s="8"/>
      <c r="B170" s="137" t="s">
        <v>82</v>
      </c>
      <c r="C170" s="9" t="s">
        <v>83</v>
      </c>
      <c r="D170" s="6" t="s">
        <v>8</v>
      </c>
      <c r="E170" s="7">
        <v>0.85489999999999999</v>
      </c>
      <c r="F170" s="7">
        <f>TRUNC(13.08,2)</f>
        <v>13.08</v>
      </c>
      <c r="G170" s="7">
        <f>TRUNC(E170*F170,2)</f>
        <v>11.18</v>
      </c>
    </row>
    <row r="171" spans="1:7" ht="24">
      <c r="A171" s="8"/>
      <c r="B171" s="137" t="s">
        <v>86</v>
      </c>
      <c r="C171" s="9" t="s">
        <v>87</v>
      </c>
      <c r="D171" s="6" t="s">
        <v>8</v>
      </c>
      <c r="E171" s="7">
        <v>0.85489999999999999</v>
      </c>
      <c r="F171" s="7">
        <f>TRUNC(18.05,2)</f>
        <v>18.05</v>
      </c>
      <c r="G171" s="7">
        <f>TRUNC(E171*F171,2)</f>
        <v>15.43</v>
      </c>
    </row>
    <row r="172" spans="1:7" ht="24">
      <c r="A172" s="8"/>
      <c r="B172" s="137" t="s">
        <v>502</v>
      </c>
      <c r="C172" s="9" t="s">
        <v>503</v>
      </c>
      <c r="D172" s="6" t="s">
        <v>85</v>
      </c>
      <c r="E172" s="7">
        <v>1.4999999999999999E-2</v>
      </c>
      <c r="F172" s="7">
        <f>TRUNC(237.4294,2)</f>
        <v>237.42</v>
      </c>
      <c r="G172" s="7">
        <f>TRUNC(E172*F172,2)</f>
        <v>3.56</v>
      </c>
    </row>
    <row r="173" spans="1:7">
      <c r="A173" s="8"/>
      <c r="B173" s="137"/>
      <c r="C173" s="9"/>
      <c r="D173" s="6"/>
      <c r="E173" s="7" t="s">
        <v>23</v>
      </c>
      <c r="F173" s="7"/>
      <c r="G173" s="7">
        <f>TRUNC(SUM(G169:G172),2)</f>
        <v>54.22</v>
      </c>
    </row>
    <row r="174" spans="1:7" ht="60">
      <c r="A174" s="8" t="str">
        <f>Orçamento!A39</f>
        <v>3.2</v>
      </c>
      <c r="B174" s="137" t="s">
        <v>246</v>
      </c>
      <c r="C174" s="9" t="s">
        <v>247</v>
      </c>
      <c r="D174" s="6" t="s">
        <v>78</v>
      </c>
      <c r="E174" s="7">
        <v>1</v>
      </c>
      <c r="F174" s="7">
        <f>TRUNC(22.4243137,2)</f>
        <v>22.42</v>
      </c>
      <c r="G174" s="7">
        <f>TRUNC(E174*F174,2)</f>
        <v>22.42</v>
      </c>
    </row>
    <row r="175" spans="1:7" ht="36">
      <c r="A175" s="8"/>
      <c r="B175" s="137" t="s">
        <v>82</v>
      </c>
      <c r="C175" s="9" t="s">
        <v>83</v>
      </c>
      <c r="D175" s="6" t="s">
        <v>8</v>
      </c>
      <c r="E175" s="7">
        <v>0.41200000000000003</v>
      </c>
      <c r="F175" s="7">
        <f>TRUNC(13.08,2)</f>
        <v>13.08</v>
      </c>
      <c r="G175" s="7">
        <f>TRUNC(E175*F175,2)</f>
        <v>5.38</v>
      </c>
    </row>
    <row r="176" spans="1:7" ht="24">
      <c r="A176" s="8"/>
      <c r="B176" s="137" t="s">
        <v>86</v>
      </c>
      <c r="C176" s="9" t="s">
        <v>87</v>
      </c>
      <c r="D176" s="6" t="s">
        <v>8</v>
      </c>
      <c r="E176" s="7">
        <v>0.41200000000000003</v>
      </c>
      <c r="F176" s="7">
        <f>TRUNC(18.05,2)</f>
        <v>18.05</v>
      </c>
      <c r="G176" s="7">
        <f>TRUNC(E176*F176,2)</f>
        <v>7.43</v>
      </c>
    </row>
    <row r="177" spans="1:7" ht="36">
      <c r="A177" s="8"/>
      <c r="B177" s="137" t="s">
        <v>504</v>
      </c>
      <c r="C177" s="9" t="s">
        <v>505</v>
      </c>
      <c r="D177" s="6" t="s">
        <v>78</v>
      </c>
      <c r="E177" s="7">
        <v>1</v>
      </c>
      <c r="F177" s="7">
        <f>TRUNC(4.5369,2)</f>
        <v>4.53</v>
      </c>
      <c r="G177" s="7">
        <f>TRUNC(E177*F177,2)</f>
        <v>4.53</v>
      </c>
    </row>
    <row r="178" spans="1:7" ht="24">
      <c r="A178" s="8"/>
      <c r="B178" s="137" t="s">
        <v>506</v>
      </c>
      <c r="C178" s="9" t="s">
        <v>507</v>
      </c>
      <c r="D178" s="6" t="s">
        <v>85</v>
      </c>
      <c r="E178" s="7">
        <v>1.7000000000000001E-2</v>
      </c>
      <c r="F178" s="7">
        <f>TRUNC(297.7561,2)</f>
        <v>297.75</v>
      </c>
      <c r="G178" s="7">
        <f>TRUNC(E178*F178,2)</f>
        <v>5.0599999999999996</v>
      </c>
    </row>
    <row r="179" spans="1:7">
      <c r="A179" s="8"/>
      <c r="B179" s="137"/>
      <c r="C179" s="9"/>
      <c r="D179" s="6"/>
      <c r="E179" s="7" t="s">
        <v>23</v>
      </c>
      <c r="F179" s="7"/>
      <c r="G179" s="7">
        <f>TRUNC(SUM(G175:G178),2)</f>
        <v>22.4</v>
      </c>
    </row>
    <row r="180" spans="1:7" ht="84">
      <c r="A180" s="8" t="str">
        <f>Orçamento!A40</f>
        <v>3.3</v>
      </c>
      <c r="B180" s="137" t="s">
        <v>253</v>
      </c>
      <c r="C180" s="9" t="s">
        <v>252</v>
      </c>
      <c r="D180" s="6" t="s">
        <v>78</v>
      </c>
      <c r="E180" s="7"/>
      <c r="F180" s="7">
        <f>G187</f>
        <v>95.67</v>
      </c>
      <c r="G180" s="7"/>
    </row>
    <row r="181" spans="1:7">
      <c r="A181" s="8"/>
      <c r="B181" s="91" t="s">
        <v>166</v>
      </c>
      <c r="C181" s="22" t="s">
        <v>2</v>
      </c>
      <c r="D181" s="6"/>
      <c r="E181" s="7"/>
      <c r="F181" s="7"/>
      <c r="G181" s="7"/>
    </row>
    <row r="182" spans="1:7" ht="60">
      <c r="A182" s="8"/>
      <c r="B182" s="137" t="s">
        <v>244</v>
      </c>
      <c r="C182" s="9" t="s">
        <v>245</v>
      </c>
      <c r="D182" s="6" t="s">
        <v>78</v>
      </c>
      <c r="E182" s="7">
        <v>1</v>
      </c>
      <c r="F182" s="7">
        <v>95.68</v>
      </c>
      <c r="G182" s="7">
        <f>TRUNC(E182*F182,2)</f>
        <v>95.68</v>
      </c>
    </row>
    <row r="183" spans="1:7" ht="24">
      <c r="A183" s="8"/>
      <c r="B183" s="137" t="s">
        <v>248</v>
      </c>
      <c r="C183" s="9" t="s">
        <v>249</v>
      </c>
      <c r="D183" s="6" t="s">
        <v>78</v>
      </c>
      <c r="E183" s="7">
        <v>1.1000000000000001</v>
      </c>
      <c r="F183" s="7">
        <v>54.55</v>
      </c>
      <c r="G183" s="7">
        <f>TRUNC(E183*F183,2)</f>
        <v>60</v>
      </c>
    </row>
    <row r="184" spans="1:7" ht="36">
      <c r="A184" s="8"/>
      <c r="B184" s="137" t="s">
        <v>82</v>
      </c>
      <c r="C184" s="9" t="s">
        <v>83</v>
      </c>
      <c r="D184" s="6" t="s">
        <v>8</v>
      </c>
      <c r="E184" s="7">
        <v>1.03</v>
      </c>
      <c r="F184" s="7">
        <v>13.08</v>
      </c>
      <c r="G184" s="7">
        <f>TRUNC(E184*F184,2)</f>
        <v>13.47</v>
      </c>
    </row>
    <row r="185" spans="1:7" ht="24">
      <c r="A185" s="8"/>
      <c r="B185" s="137" t="s">
        <v>86</v>
      </c>
      <c r="C185" s="9" t="s">
        <v>87</v>
      </c>
      <c r="D185" s="6" t="s">
        <v>8</v>
      </c>
      <c r="E185" s="7">
        <v>1.03</v>
      </c>
      <c r="F185" s="7">
        <v>18.05</v>
      </c>
      <c r="G185" s="7">
        <f>TRUNC(E185*F185,2)</f>
        <v>18.59</v>
      </c>
    </row>
    <row r="186" spans="1:7" ht="24">
      <c r="A186" s="8"/>
      <c r="B186" s="137" t="s">
        <v>250</v>
      </c>
      <c r="C186" s="9" t="s">
        <v>251</v>
      </c>
      <c r="D186" s="6" t="s">
        <v>85</v>
      </c>
      <c r="E186" s="7">
        <v>0.01</v>
      </c>
      <c r="F186" s="7">
        <v>361.68</v>
      </c>
      <c r="G186" s="7">
        <f>TRUNC(E186*F186,2)</f>
        <v>3.61</v>
      </c>
    </row>
    <row r="187" spans="1:7">
      <c r="A187" s="8"/>
      <c r="B187" s="137"/>
      <c r="C187" s="9"/>
      <c r="D187" s="6"/>
      <c r="E187" s="7" t="s">
        <v>23</v>
      </c>
      <c r="F187" s="7"/>
      <c r="G187" s="7">
        <f>TRUNC(SUM(G183:G186),2)</f>
        <v>95.67</v>
      </c>
    </row>
    <row r="188" spans="1:7">
      <c r="A188" s="8"/>
      <c r="B188" s="137"/>
      <c r="C188" s="9"/>
      <c r="D188" s="6"/>
      <c r="E188" s="7"/>
      <c r="F188" s="7"/>
      <c r="G188" s="7"/>
    </row>
    <row r="189" spans="1:7" ht="144">
      <c r="A189" s="8" t="str">
        <f>Orçamento!A41</f>
        <v>3.4</v>
      </c>
      <c r="B189" s="137" t="s">
        <v>143</v>
      </c>
      <c r="C189" s="9" t="s">
        <v>254</v>
      </c>
      <c r="D189" s="6" t="s">
        <v>78</v>
      </c>
      <c r="E189" s="7"/>
      <c r="F189" s="7">
        <f>G200</f>
        <v>66.150000000000006</v>
      </c>
      <c r="G189" s="7"/>
    </row>
    <row r="190" spans="1:7">
      <c r="A190" s="8"/>
      <c r="B190" s="91" t="s">
        <v>166</v>
      </c>
      <c r="C190" s="22" t="s">
        <v>2</v>
      </c>
      <c r="D190" s="6"/>
      <c r="E190" s="7"/>
      <c r="F190" s="7"/>
      <c r="G190" s="7"/>
    </row>
    <row r="191" spans="1:7" ht="156">
      <c r="A191" s="8"/>
      <c r="B191" s="137" t="s">
        <v>139</v>
      </c>
      <c r="C191" s="9" t="s">
        <v>140</v>
      </c>
      <c r="D191" s="6" t="s">
        <v>78</v>
      </c>
      <c r="E191" s="7">
        <v>1</v>
      </c>
      <c r="F191" s="7">
        <f>TRUNC(64.40538193,2)</f>
        <v>64.400000000000006</v>
      </c>
      <c r="G191" s="7"/>
    </row>
    <row r="192" spans="1:7" ht="24">
      <c r="A192" s="8"/>
      <c r="B192" s="137" t="s">
        <v>108</v>
      </c>
      <c r="C192" s="9" t="s">
        <v>109</v>
      </c>
      <c r="D192" s="6" t="s">
        <v>89</v>
      </c>
      <c r="E192" s="7">
        <v>5.4600000000000003E-2</v>
      </c>
      <c r="F192" s="7">
        <f>TRUNC(28,2)</f>
        <v>28</v>
      </c>
      <c r="G192" s="7"/>
    </row>
    <row r="193" spans="1:7" ht="24">
      <c r="A193" s="8"/>
      <c r="B193" s="137" t="s">
        <v>145</v>
      </c>
      <c r="C193" s="9" t="s">
        <v>146</v>
      </c>
      <c r="D193" s="6" t="s">
        <v>89</v>
      </c>
      <c r="E193" s="7">
        <v>5.4600000000000003E-2</v>
      </c>
      <c r="F193" s="7">
        <v>22</v>
      </c>
      <c r="G193" s="7">
        <f t="shared" ref="G193:G199" si="6">TRUNC(E193*F193,2)</f>
        <v>1.2</v>
      </c>
    </row>
    <row r="194" spans="1:7" ht="36">
      <c r="A194" s="8"/>
      <c r="B194" s="137" t="s">
        <v>141</v>
      </c>
      <c r="C194" s="9" t="s">
        <v>142</v>
      </c>
      <c r="D194" s="6" t="s">
        <v>78</v>
      </c>
      <c r="E194" s="7">
        <v>1.05</v>
      </c>
      <c r="F194" s="7">
        <v>32</v>
      </c>
      <c r="G194" s="7">
        <f t="shared" si="6"/>
        <v>33.6</v>
      </c>
    </row>
    <row r="195" spans="1:7" ht="36">
      <c r="A195" s="8"/>
      <c r="B195" s="137" t="s">
        <v>82</v>
      </c>
      <c r="C195" s="9" t="s">
        <v>83</v>
      </c>
      <c r="D195" s="6" t="s">
        <v>8</v>
      </c>
      <c r="E195" s="7">
        <v>0.72099999999999997</v>
      </c>
      <c r="F195" s="7">
        <v>13.08</v>
      </c>
      <c r="G195" s="7">
        <f t="shared" si="6"/>
        <v>9.43</v>
      </c>
    </row>
    <row r="196" spans="1:7" ht="24">
      <c r="A196" s="8"/>
      <c r="B196" s="137" t="s">
        <v>102</v>
      </c>
      <c r="C196" s="9" t="s">
        <v>103</v>
      </c>
      <c r="D196" s="6" t="s">
        <v>8</v>
      </c>
      <c r="E196" s="7">
        <v>0.3296</v>
      </c>
      <c r="F196" s="7">
        <v>18.05</v>
      </c>
      <c r="G196" s="7">
        <f t="shared" si="6"/>
        <v>5.94</v>
      </c>
    </row>
    <row r="197" spans="1:7" ht="24">
      <c r="A197" s="8"/>
      <c r="B197" s="137" t="s">
        <v>95</v>
      </c>
      <c r="C197" s="9" t="s">
        <v>96</v>
      </c>
      <c r="D197" s="6" t="s">
        <v>8</v>
      </c>
      <c r="E197" s="7">
        <v>3.8399999999999997E-2</v>
      </c>
      <c r="F197" s="7">
        <v>40.33</v>
      </c>
      <c r="G197" s="7">
        <f t="shared" si="6"/>
        <v>1.54</v>
      </c>
    </row>
    <row r="198" spans="1:7" ht="24">
      <c r="A198" s="8"/>
      <c r="B198" s="137" t="s">
        <v>97</v>
      </c>
      <c r="C198" s="9" t="s">
        <v>98</v>
      </c>
      <c r="D198" s="6" t="s">
        <v>8</v>
      </c>
      <c r="E198" s="7">
        <v>7.6899999999999996E-2</v>
      </c>
      <c r="F198" s="7">
        <v>118.62</v>
      </c>
      <c r="G198" s="7">
        <f t="shared" si="6"/>
        <v>9.1199999999999992</v>
      </c>
    </row>
    <row r="199" spans="1:7" ht="24">
      <c r="A199" s="8"/>
      <c r="B199" s="137" t="s">
        <v>104</v>
      </c>
      <c r="C199" s="9" t="s">
        <v>105</v>
      </c>
      <c r="D199" s="6" t="s">
        <v>85</v>
      </c>
      <c r="E199" s="7">
        <v>2.1000000000000001E-2</v>
      </c>
      <c r="F199" s="7">
        <v>253.69</v>
      </c>
      <c r="G199" s="7">
        <f t="shared" si="6"/>
        <v>5.32</v>
      </c>
    </row>
    <row r="200" spans="1:7">
      <c r="A200" s="8"/>
      <c r="B200" s="137"/>
      <c r="C200" s="9"/>
      <c r="D200" s="6"/>
      <c r="E200" s="7" t="s">
        <v>23</v>
      </c>
      <c r="F200" s="7"/>
      <c r="G200" s="7">
        <f>TRUNC(SUM(G192:G199),2)</f>
        <v>66.150000000000006</v>
      </c>
    </row>
    <row r="201" spans="1:7" ht="60">
      <c r="A201" s="8" t="str">
        <f>Orçamento!A42</f>
        <v>3.5</v>
      </c>
      <c r="B201" s="137" t="s">
        <v>255</v>
      </c>
      <c r="C201" s="9" t="s">
        <v>256</v>
      </c>
      <c r="D201" s="6" t="s">
        <v>78</v>
      </c>
      <c r="E201" s="7">
        <v>1</v>
      </c>
      <c r="F201" s="7">
        <f>TRUNC(87.65727,2)</f>
        <v>87.65</v>
      </c>
      <c r="G201" s="7">
        <f>TRUNC(E201*F201,2)</f>
        <v>87.65</v>
      </c>
    </row>
    <row r="202" spans="1:7" ht="36">
      <c r="A202" s="8"/>
      <c r="B202" s="137" t="s">
        <v>508</v>
      </c>
      <c r="C202" s="9" t="s">
        <v>509</v>
      </c>
      <c r="D202" s="6" t="s">
        <v>78</v>
      </c>
      <c r="E202" s="7">
        <v>1.05</v>
      </c>
      <c r="F202" s="7">
        <f>TRUNC(58.8,2)</f>
        <v>58.8</v>
      </c>
      <c r="G202" s="7">
        <f>TRUNC(E202*F202,2)</f>
        <v>61.74</v>
      </c>
    </row>
    <row r="203" spans="1:7">
      <c r="A203" s="8"/>
      <c r="B203" s="137" t="s">
        <v>510</v>
      </c>
      <c r="C203" s="9" t="s">
        <v>511</v>
      </c>
      <c r="D203" s="6" t="s">
        <v>482</v>
      </c>
      <c r="E203" s="7">
        <v>0.14199999999999999</v>
      </c>
      <c r="F203" s="7">
        <f>TRUNC(64.61,2)</f>
        <v>64.61</v>
      </c>
      <c r="G203" s="7">
        <f>TRUNC(E203*F203,2)</f>
        <v>9.17</v>
      </c>
    </row>
    <row r="204" spans="1:7" ht="36">
      <c r="A204" s="8"/>
      <c r="B204" s="137" t="s">
        <v>82</v>
      </c>
      <c r="C204" s="9" t="s">
        <v>83</v>
      </c>
      <c r="D204" s="6" t="s">
        <v>8</v>
      </c>
      <c r="E204" s="7">
        <v>0.51500000000000001</v>
      </c>
      <c r="F204" s="7">
        <f>TRUNC(13.08,2)</f>
        <v>13.08</v>
      </c>
      <c r="G204" s="7">
        <f>TRUNC(E204*F204,2)</f>
        <v>6.73</v>
      </c>
    </row>
    <row r="205" spans="1:7" ht="24">
      <c r="A205" s="8"/>
      <c r="B205" s="137" t="s">
        <v>512</v>
      </c>
      <c r="C205" s="9" t="s">
        <v>513</v>
      </c>
      <c r="D205" s="6" t="s">
        <v>8</v>
      </c>
      <c r="E205" s="7">
        <v>0.51500000000000001</v>
      </c>
      <c r="F205" s="7">
        <f>TRUNC(19.43,2)</f>
        <v>19.43</v>
      </c>
      <c r="G205" s="7">
        <f>TRUNC(E205*F205,2)</f>
        <v>10</v>
      </c>
    </row>
    <row r="206" spans="1:7">
      <c r="A206" s="8"/>
      <c r="B206" s="137"/>
      <c r="C206" s="9"/>
      <c r="D206" s="6"/>
      <c r="E206" s="7" t="s">
        <v>23</v>
      </c>
      <c r="F206" s="7"/>
      <c r="G206" s="7">
        <f>TRUNC(SUM(G202:G205),2)</f>
        <v>87.64</v>
      </c>
    </row>
    <row r="207" spans="1:7" ht="60">
      <c r="A207" s="8" t="str">
        <f>Orçamento!A43</f>
        <v>3.6</v>
      </c>
      <c r="B207" s="137" t="s">
        <v>257</v>
      </c>
      <c r="C207" s="9" t="s">
        <v>258</v>
      </c>
      <c r="D207" s="6" t="s">
        <v>78</v>
      </c>
      <c r="E207" s="7">
        <v>1</v>
      </c>
      <c r="F207" s="7">
        <f>TRUNC(87.65727,2)</f>
        <v>87.65</v>
      </c>
      <c r="G207" s="7">
        <f>TRUNC(E207*F207,2)</f>
        <v>87.65</v>
      </c>
    </row>
    <row r="208" spans="1:7" ht="36">
      <c r="A208" s="8"/>
      <c r="B208" s="137" t="s">
        <v>514</v>
      </c>
      <c r="C208" s="9" t="s">
        <v>515</v>
      </c>
      <c r="D208" s="6" t="s">
        <v>78</v>
      </c>
      <c r="E208" s="7">
        <v>1.05</v>
      </c>
      <c r="F208" s="7">
        <f>TRUNC(58.8,2)</f>
        <v>58.8</v>
      </c>
      <c r="G208" s="7">
        <f>TRUNC(E208*F208,2)</f>
        <v>61.74</v>
      </c>
    </row>
    <row r="209" spans="1:7">
      <c r="A209" s="8"/>
      <c r="B209" s="137" t="s">
        <v>510</v>
      </c>
      <c r="C209" s="9" t="s">
        <v>511</v>
      </c>
      <c r="D209" s="6" t="s">
        <v>482</v>
      </c>
      <c r="E209" s="7">
        <v>0.14199999999999999</v>
      </c>
      <c r="F209" s="7">
        <f>TRUNC(64.61,2)</f>
        <v>64.61</v>
      </c>
      <c r="G209" s="7">
        <f>TRUNC(E209*F209,2)</f>
        <v>9.17</v>
      </c>
    </row>
    <row r="210" spans="1:7" ht="36">
      <c r="A210" s="8"/>
      <c r="B210" s="137" t="s">
        <v>82</v>
      </c>
      <c r="C210" s="9" t="s">
        <v>83</v>
      </c>
      <c r="D210" s="6" t="s">
        <v>8</v>
      </c>
      <c r="E210" s="7">
        <v>0.51500000000000001</v>
      </c>
      <c r="F210" s="7">
        <f>TRUNC(13.08,2)</f>
        <v>13.08</v>
      </c>
      <c r="G210" s="7">
        <f>TRUNC(E210*F210,2)</f>
        <v>6.73</v>
      </c>
    </row>
    <row r="211" spans="1:7" ht="24">
      <c r="A211" s="8"/>
      <c r="B211" s="137" t="s">
        <v>512</v>
      </c>
      <c r="C211" s="9" t="s">
        <v>513</v>
      </c>
      <c r="D211" s="6" t="s">
        <v>8</v>
      </c>
      <c r="E211" s="7">
        <v>0.51500000000000001</v>
      </c>
      <c r="F211" s="7">
        <f>TRUNC(19.43,2)</f>
        <v>19.43</v>
      </c>
      <c r="G211" s="7">
        <f>TRUNC(E211*F211,2)</f>
        <v>10</v>
      </c>
    </row>
    <row r="212" spans="1:7">
      <c r="A212" s="8"/>
      <c r="B212" s="137"/>
      <c r="C212" s="9"/>
      <c r="D212" s="6"/>
      <c r="E212" s="7" t="s">
        <v>23</v>
      </c>
      <c r="F212" s="7"/>
      <c r="G212" s="7">
        <f>TRUNC(SUM(G208:G211),2)</f>
        <v>87.64</v>
      </c>
    </row>
    <row r="213" spans="1:7" ht="132">
      <c r="A213" s="8" t="str">
        <f>Orçamento!A44</f>
        <v>3.7</v>
      </c>
      <c r="B213" s="137" t="s">
        <v>278</v>
      </c>
      <c r="C213" s="9" t="s">
        <v>274</v>
      </c>
      <c r="D213" s="6" t="s">
        <v>78</v>
      </c>
      <c r="E213" s="7"/>
      <c r="F213" s="7">
        <f>G234</f>
        <v>68.63</v>
      </c>
      <c r="G213" s="7"/>
    </row>
    <row r="214" spans="1:7">
      <c r="A214" s="8"/>
      <c r="B214" s="91" t="s">
        <v>166</v>
      </c>
      <c r="C214" s="22" t="s">
        <v>273</v>
      </c>
      <c r="D214" s="6"/>
      <c r="E214" s="7"/>
      <c r="F214" s="7"/>
      <c r="G214" s="7"/>
    </row>
    <row r="215" spans="1:7" ht="144">
      <c r="A215" s="8"/>
      <c r="B215" s="137" t="s">
        <v>271</v>
      </c>
      <c r="C215" s="9" t="s">
        <v>272</v>
      </c>
      <c r="D215" s="6" t="s">
        <v>78</v>
      </c>
      <c r="E215" s="7">
        <v>1</v>
      </c>
      <c r="F215" s="7">
        <f>TRUNC(76.42058958,2)</f>
        <v>76.42</v>
      </c>
      <c r="G215" s="7"/>
    </row>
    <row r="216" spans="1:7" ht="24">
      <c r="A216" s="8"/>
      <c r="B216" s="137" t="s">
        <v>115</v>
      </c>
      <c r="C216" s="9" t="s">
        <v>116</v>
      </c>
      <c r="D216" s="6" t="s">
        <v>89</v>
      </c>
      <c r="E216" s="7">
        <v>7.2499999999999995E-2</v>
      </c>
      <c r="F216" s="7">
        <f>TRUNC(51.01,2)</f>
        <v>51.01</v>
      </c>
      <c r="G216" s="7"/>
    </row>
    <row r="217" spans="1:7" ht="24">
      <c r="A217" s="8"/>
      <c r="B217" s="137" t="s">
        <v>149</v>
      </c>
      <c r="C217" s="9" t="s">
        <v>150</v>
      </c>
      <c r="D217" s="6" t="s">
        <v>89</v>
      </c>
      <c r="E217" s="7">
        <v>7.2499999999999995E-2</v>
      </c>
      <c r="F217" s="7">
        <v>50.54</v>
      </c>
      <c r="G217" s="7">
        <f>TRUNC(E217*F217,2)</f>
        <v>3.66</v>
      </c>
    </row>
    <row r="218" spans="1:7" ht="48">
      <c r="A218" s="8"/>
      <c r="B218" s="137" t="s">
        <v>267</v>
      </c>
      <c r="C218" s="9" t="s">
        <v>268</v>
      </c>
      <c r="D218" s="6" t="s">
        <v>15</v>
      </c>
      <c r="E218" s="7">
        <v>3.25</v>
      </c>
      <c r="F218" s="7">
        <v>3.66</v>
      </c>
      <c r="G218" s="7">
        <f>TRUNC(E218*F218,2)</f>
        <v>11.89</v>
      </c>
    </row>
    <row r="219" spans="1:7" ht="24">
      <c r="A219" s="8"/>
      <c r="B219" s="137" t="s">
        <v>269</v>
      </c>
      <c r="C219" s="9" t="s">
        <v>270</v>
      </c>
      <c r="D219" s="6" t="s">
        <v>78</v>
      </c>
      <c r="E219" s="7">
        <v>1.2</v>
      </c>
      <c r="F219" s="7">
        <v>0.75</v>
      </c>
      <c r="G219" s="7">
        <f>TRUNC(E219*F219,2)</f>
        <v>0.9</v>
      </c>
    </row>
    <row r="220" spans="1:7" ht="24">
      <c r="A220" s="8"/>
      <c r="B220" s="137" t="s">
        <v>226</v>
      </c>
      <c r="C220" s="9" t="s">
        <v>227</v>
      </c>
      <c r="D220" s="6" t="s">
        <v>85</v>
      </c>
      <c r="E220" s="7">
        <v>0.105</v>
      </c>
      <c r="F220" s="7">
        <v>287.32</v>
      </c>
      <c r="G220" s="7"/>
    </row>
    <row r="221" spans="1:7" ht="24">
      <c r="A221" s="8"/>
      <c r="B221" s="137" t="s">
        <v>226</v>
      </c>
      <c r="C221" s="9" t="s">
        <v>275</v>
      </c>
      <c r="D221" s="6" t="s">
        <v>85</v>
      </c>
      <c r="E221" s="7">
        <f>0.105/10*8</f>
        <v>8.3999999999999991E-2</v>
      </c>
      <c r="F221" s="7">
        <v>287.32</v>
      </c>
      <c r="G221" s="7">
        <f>TRUNC(E221*F221,2)</f>
        <v>24.13</v>
      </c>
    </row>
    <row r="222" spans="1:7" ht="36">
      <c r="A222" s="8"/>
      <c r="B222" s="137">
        <v>20132</v>
      </c>
      <c r="C222" s="9" t="s">
        <v>83</v>
      </c>
      <c r="D222" s="6" t="s">
        <v>8</v>
      </c>
      <c r="E222" s="7">
        <v>1.1587499999999999</v>
      </c>
      <c r="F222" s="7">
        <v>13.08</v>
      </c>
      <c r="G222" s="7"/>
    </row>
    <row r="223" spans="1:7" ht="48">
      <c r="A223" s="8"/>
      <c r="B223" s="137" t="s">
        <v>82</v>
      </c>
      <c r="C223" s="9" t="s">
        <v>277</v>
      </c>
      <c r="D223" s="6" t="s">
        <v>8</v>
      </c>
      <c r="E223" s="7">
        <f>1.15875-0.67+(0.67/10*8)</f>
        <v>1.02475</v>
      </c>
      <c r="F223" s="7">
        <v>13.08</v>
      </c>
      <c r="G223" s="7">
        <f>TRUNC(E223*F223,2)</f>
        <v>13.4</v>
      </c>
    </row>
    <row r="224" spans="1:7" ht="24">
      <c r="A224" s="8"/>
      <c r="B224" s="137" t="s">
        <v>86</v>
      </c>
      <c r="C224" s="9" t="s">
        <v>87</v>
      </c>
      <c r="D224" s="6" t="s">
        <v>8</v>
      </c>
      <c r="E224" s="7">
        <v>0.6695000000000001</v>
      </c>
      <c r="F224" s="7">
        <v>18.05</v>
      </c>
      <c r="G224" s="7"/>
    </row>
    <row r="225" spans="1:10" ht="36">
      <c r="A225" s="8"/>
      <c r="B225" s="137" t="s">
        <v>86</v>
      </c>
      <c r="C225" s="9" t="s">
        <v>276</v>
      </c>
      <c r="D225" s="6" t="s">
        <v>8</v>
      </c>
      <c r="E225" s="7">
        <f>0.6695/10*8</f>
        <v>0.53559999999999997</v>
      </c>
      <c r="F225" s="7">
        <v>18.05</v>
      </c>
      <c r="G225" s="7">
        <f t="shared" ref="G225:G233" si="7">TRUNC(E225*F225,2)</f>
        <v>9.66</v>
      </c>
      <c r="J225" s="19"/>
    </row>
    <row r="226" spans="1:10" ht="36">
      <c r="A226" s="8"/>
      <c r="B226" s="137" t="s">
        <v>112</v>
      </c>
      <c r="C226" s="9" t="s">
        <v>113</v>
      </c>
      <c r="D226" s="6" t="s">
        <v>8</v>
      </c>
      <c r="E226" s="7">
        <v>9.2700000000000005E-2</v>
      </c>
      <c r="F226" s="7">
        <v>18.05</v>
      </c>
      <c r="G226" s="7">
        <f t="shared" si="7"/>
        <v>1.67</v>
      </c>
    </row>
    <row r="227" spans="1:10" ht="36">
      <c r="A227" s="8"/>
      <c r="B227" s="137" t="s">
        <v>228</v>
      </c>
      <c r="C227" s="9" t="s">
        <v>229</v>
      </c>
      <c r="D227" s="6" t="s">
        <v>8</v>
      </c>
      <c r="E227" s="7">
        <v>0.1648</v>
      </c>
      <c r="F227" s="7">
        <v>18.05</v>
      </c>
      <c r="G227" s="7">
        <f t="shared" si="7"/>
        <v>2.97</v>
      </c>
    </row>
    <row r="228" spans="1:10" ht="24">
      <c r="A228" s="8"/>
      <c r="B228" s="137" t="s">
        <v>261</v>
      </c>
      <c r="C228" s="9" t="s">
        <v>262</v>
      </c>
      <c r="D228" s="6" t="s">
        <v>8</v>
      </c>
      <c r="E228" s="7">
        <v>4.3799999999999999E-2</v>
      </c>
      <c r="F228" s="7">
        <v>0.96</v>
      </c>
      <c r="G228" s="7">
        <f t="shared" si="7"/>
        <v>0.04</v>
      </c>
    </row>
    <row r="229" spans="1:10" ht="24">
      <c r="A229" s="8"/>
      <c r="B229" s="137" t="s">
        <v>265</v>
      </c>
      <c r="C229" s="9" t="s">
        <v>266</v>
      </c>
      <c r="D229" s="6" t="s">
        <v>8</v>
      </c>
      <c r="E229" s="7">
        <v>1.8800000000000001E-2</v>
      </c>
      <c r="F229" s="7">
        <v>8.77</v>
      </c>
      <c r="G229" s="7">
        <f t="shared" si="7"/>
        <v>0.16</v>
      </c>
    </row>
    <row r="230" spans="1:10" ht="24">
      <c r="A230" s="8"/>
      <c r="B230" s="137" t="s">
        <v>230</v>
      </c>
      <c r="C230" s="9" t="s">
        <v>231</v>
      </c>
      <c r="D230" s="6" t="s">
        <v>8</v>
      </c>
      <c r="E230" s="7">
        <v>3.5999999999999997E-2</v>
      </c>
      <c r="F230" s="7">
        <v>0.24</v>
      </c>
      <c r="G230" s="7">
        <f t="shared" si="7"/>
        <v>0</v>
      </c>
    </row>
    <row r="231" spans="1:10" ht="24">
      <c r="A231" s="8"/>
      <c r="B231" s="137" t="s">
        <v>232</v>
      </c>
      <c r="C231" s="9" t="s">
        <v>233</v>
      </c>
      <c r="D231" s="6" t="s">
        <v>8</v>
      </c>
      <c r="E231" s="7">
        <v>3.5999999999999997E-2</v>
      </c>
      <c r="F231" s="7">
        <v>1.17</v>
      </c>
      <c r="G231" s="7">
        <f t="shared" si="7"/>
        <v>0.04</v>
      </c>
    </row>
    <row r="232" spans="1:10" ht="24">
      <c r="A232" s="8"/>
      <c r="B232" s="137" t="s">
        <v>263</v>
      </c>
      <c r="C232" s="9" t="s">
        <v>264</v>
      </c>
      <c r="D232" s="6" t="s">
        <v>8</v>
      </c>
      <c r="E232" s="7">
        <v>2.92E-2</v>
      </c>
      <c r="F232" s="7">
        <v>1.34</v>
      </c>
      <c r="G232" s="7">
        <f t="shared" si="7"/>
        <v>0.03</v>
      </c>
    </row>
    <row r="233" spans="1:10" ht="24">
      <c r="A233" s="8"/>
      <c r="B233" s="137" t="s">
        <v>259</v>
      </c>
      <c r="C233" s="9" t="s">
        <v>260</v>
      </c>
      <c r="D233" s="6" t="s">
        <v>8</v>
      </c>
      <c r="E233" s="7">
        <v>1.2500000000000001E-2</v>
      </c>
      <c r="F233" s="7">
        <v>6.7</v>
      </c>
      <c r="G233" s="7">
        <f t="shared" si="7"/>
        <v>0.08</v>
      </c>
    </row>
    <row r="234" spans="1:10">
      <c r="A234" s="8"/>
      <c r="B234" s="137"/>
      <c r="C234" s="9"/>
      <c r="D234" s="6"/>
      <c r="E234" s="7" t="s">
        <v>23</v>
      </c>
      <c r="F234" s="7"/>
      <c r="G234" s="7">
        <f>TRUNC(SUM(G216:G233),2)</f>
        <v>68.63</v>
      </c>
    </row>
    <row r="235" spans="1:10" ht="132">
      <c r="A235" s="8" t="str">
        <f>Orçamento!A45</f>
        <v>3.8</v>
      </c>
      <c r="B235" s="137" t="s">
        <v>279</v>
      </c>
      <c r="C235" s="9" t="s">
        <v>516</v>
      </c>
      <c r="D235" s="6" t="s">
        <v>78</v>
      </c>
      <c r="E235" s="7">
        <v>1</v>
      </c>
      <c r="F235" s="7">
        <f>TRUNC(40.66659,2)</f>
        <v>40.659999999999997</v>
      </c>
      <c r="G235" s="7">
        <f t="shared" ref="G235:G241" si="8">TRUNC(E235*F235,2)</f>
        <v>40.659999999999997</v>
      </c>
    </row>
    <row r="236" spans="1:10" ht="24">
      <c r="A236" s="8"/>
      <c r="B236" s="137" t="s">
        <v>517</v>
      </c>
      <c r="C236" s="9" t="s">
        <v>518</v>
      </c>
      <c r="D236" s="6" t="s">
        <v>14</v>
      </c>
      <c r="E236" s="7">
        <v>0.03</v>
      </c>
      <c r="F236" s="7">
        <f>TRUNC(56.2,2)</f>
        <v>56.2</v>
      </c>
      <c r="G236" s="7">
        <f t="shared" si="8"/>
        <v>1.68</v>
      </c>
    </row>
    <row r="237" spans="1:10" ht="36">
      <c r="A237" s="8"/>
      <c r="B237" s="137" t="s">
        <v>151</v>
      </c>
      <c r="C237" s="9" t="s">
        <v>152</v>
      </c>
      <c r="D237" s="6" t="s">
        <v>15</v>
      </c>
      <c r="E237" s="7">
        <v>0.05</v>
      </c>
      <c r="F237" s="7">
        <f>TRUNC(8.55,2)</f>
        <v>8.5500000000000007</v>
      </c>
      <c r="G237" s="7">
        <f t="shared" si="8"/>
        <v>0.42</v>
      </c>
    </row>
    <row r="238" spans="1:10">
      <c r="A238" s="8"/>
      <c r="B238" s="137" t="s">
        <v>153</v>
      </c>
      <c r="C238" s="9" t="s">
        <v>154</v>
      </c>
      <c r="D238" s="6" t="s">
        <v>79</v>
      </c>
      <c r="E238" s="7">
        <v>1.95</v>
      </c>
      <c r="F238" s="7">
        <f>TRUNC(3.796,2)</f>
        <v>3.79</v>
      </c>
      <c r="G238" s="7">
        <f t="shared" si="8"/>
        <v>7.39</v>
      </c>
    </row>
    <row r="239" spans="1:10" ht="24">
      <c r="A239" s="8"/>
      <c r="B239" s="137" t="s">
        <v>519</v>
      </c>
      <c r="C239" s="9" t="s">
        <v>520</v>
      </c>
      <c r="D239" s="6" t="s">
        <v>78</v>
      </c>
      <c r="E239" s="7">
        <v>1</v>
      </c>
      <c r="F239" s="7">
        <f>TRUNC(17.49,2)</f>
        <v>17.489999999999998</v>
      </c>
      <c r="G239" s="7">
        <f t="shared" si="8"/>
        <v>17.489999999999998</v>
      </c>
    </row>
    <row r="240" spans="1:10" ht="36">
      <c r="A240" s="8"/>
      <c r="B240" s="137" t="s">
        <v>82</v>
      </c>
      <c r="C240" s="9" t="s">
        <v>83</v>
      </c>
      <c r="D240" s="6" t="s">
        <v>8</v>
      </c>
      <c r="E240" s="7">
        <v>0.61799999999999999</v>
      </c>
      <c r="F240" s="7">
        <f>TRUNC(13.08,2)</f>
        <v>13.08</v>
      </c>
      <c r="G240" s="7">
        <f t="shared" si="8"/>
        <v>8.08</v>
      </c>
    </row>
    <row r="241" spans="1:7" ht="36">
      <c r="A241" s="8"/>
      <c r="B241" s="137" t="s">
        <v>112</v>
      </c>
      <c r="C241" s="9" t="s">
        <v>113</v>
      </c>
      <c r="D241" s="6" t="s">
        <v>8</v>
      </c>
      <c r="E241" s="7">
        <v>0.309</v>
      </c>
      <c r="F241" s="7">
        <f>TRUNC(18.05,2)</f>
        <v>18.05</v>
      </c>
      <c r="G241" s="7">
        <f t="shared" si="8"/>
        <v>5.57</v>
      </c>
    </row>
    <row r="242" spans="1:7">
      <c r="A242" s="8"/>
      <c r="B242" s="137"/>
      <c r="C242" s="9"/>
      <c r="D242" s="6"/>
      <c r="E242" s="7" t="s">
        <v>23</v>
      </c>
      <c r="F242" s="7"/>
      <c r="G242" s="7">
        <f>TRUNC(SUM(G236:G241),2)</f>
        <v>40.630000000000003</v>
      </c>
    </row>
    <row r="243" spans="1:7">
      <c r="A243" s="8" t="str">
        <f>Orçamento!A46</f>
        <v>3.9</v>
      </c>
      <c r="B243" s="137"/>
      <c r="C243" s="8" t="str">
        <f>Orçamento!C46</f>
        <v>BANCO DE DORMENTE</v>
      </c>
      <c r="D243" s="6"/>
      <c r="E243" s="7"/>
      <c r="F243" s="7"/>
      <c r="G243" s="7"/>
    </row>
    <row r="244" spans="1:7" ht="84">
      <c r="A244" s="8" t="str">
        <f>Orçamento!A47</f>
        <v>3.9.1</v>
      </c>
      <c r="B244" s="137" t="s">
        <v>285</v>
      </c>
      <c r="C244" s="9" t="s">
        <v>524</v>
      </c>
      <c r="D244" s="6" t="s">
        <v>287</v>
      </c>
      <c r="E244" s="7"/>
      <c r="F244" s="7">
        <f>G263</f>
        <v>296.24</v>
      </c>
      <c r="G244" s="7"/>
    </row>
    <row r="245" spans="1:7">
      <c r="A245" s="8"/>
      <c r="B245" s="91" t="s">
        <v>166</v>
      </c>
      <c r="C245" s="22" t="s">
        <v>205</v>
      </c>
      <c r="D245" s="6"/>
      <c r="E245" s="7"/>
      <c r="F245" s="7"/>
      <c r="G245" s="7"/>
    </row>
    <row r="246" spans="1:7" ht="48">
      <c r="A246" s="8"/>
      <c r="B246" s="137" t="s">
        <v>286</v>
      </c>
      <c r="C246" s="9" t="s">
        <v>521</v>
      </c>
      <c r="D246" s="6" t="s">
        <v>79</v>
      </c>
      <c r="E246" s="7"/>
      <c r="F246" s="7"/>
      <c r="G246" s="7"/>
    </row>
    <row r="247" spans="1:7" ht="36">
      <c r="A247" s="8"/>
      <c r="B247" s="137" t="s">
        <v>522</v>
      </c>
      <c r="C247" s="9" t="s">
        <v>523</v>
      </c>
      <c r="D247" s="6" t="s">
        <v>79</v>
      </c>
      <c r="E247" s="7">
        <v>4</v>
      </c>
      <c r="F247" s="7">
        <f>TRUNC(55.0595,2)</f>
        <v>55.05</v>
      </c>
      <c r="G247" s="7">
        <f>TRUNC(E247*F247,2)</f>
        <v>220.2</v>
      </c>
    </row>
    <row r="248" spans="1:7" ht="36">
      <c r="A248" s="8"/>
      <c r="B248" s="137" t="s">
        <v>283</v>
      </c>
      <c r="C248" s="9" t="s">
        <v>284</v>
      </c>
      <c r="D248" s="6" t="s">
        <v>14</v>
      </c>
      <c r="E248" s="7">
        <v>6</v>
      </c>
      <c r="F248" s="7">
        <v>1</v>
      </c>
      <c r="G248" s="7">
        <f t="shared" ref="G248" si="9">TRUNC(E248*F248,2)</f>
        <v>6</v>
      </c>
    </row>
    <row r="249" spans="1:7" ht="84">
      <c r="A249" s="8"/>
      <c r="B249" s="137" t="s">
        <v>525</v>
      </c>
      <c r="C249" s="9" t="s">
        <v>526</v>
      </c>
      <c r="D249" s="6" t="s">
        <v>14</v>
      </c>
      <c r="E249" s="7">
        <v>1</v>
      </c>
      <c r="F249" s="7"/>
      <c r="G249" s="7"/>
    </row>
    <row r="250" spans="1:7" ht="24">
      <c r="A250" s="8"/>
      <c r="B250" s="137" t="s">
        <v>527</v>
      </c>
      <c r="C250" s="9" t="s">
        <v>528</v>
      </c>
      <c r="D250" s="6" t="s">
        <v>79</v>
      </c>
      <c r="E250" s="7">
        <v>3.6</v>
      </c>
      <c r="F250" s="7"/>
      <c r="G250" s="7"/>
    </row>
    <row r="251" spans="1:7" ht="24">
      <c r="A251" s="8"/>
      <c r="B251" s="137" t="s">
        <v>529</v>
      </c>
      <c r="C251" s="9" t="s">
        <v>530</v>
      </c>
      <c r="D251" s="6" t="s">
        <v>79</v>
      </c>
      <c r="E251" s="7">
        <v>0.6</v>
      </c>
      <c r="F251" s="7"/>
      <c r="G251" s="7"/>
    </row>
    <row r="252" spans="1:7" ht="24">
      <c r="A252" s="8"/>
      <c r="B252" s="137" t="s">
        <v>283</v>
      </c>
      <c r="C252" s="9" t="s">
        <v>531</v>
      </c>
      <c r="D252" s="6" t="s">
        <v>14</v>
      </c>
      <c r="E252" s="7">
        <v>20</v>
      </c>
      <c r="F252" s="7"/>
      <c r="G252" s="7"/>
    </row>
    <row r="253" spans="1:7" ht="36">
      <c r="A253" s="8"/>
      <c r="B253" s="137" t="s">
        <v>151</v>
      </c>
      <c r="C253" s="9" t="s">
        <v>152</v>
      </c>
      <c r="D253" s="6" t="s">
        <v>15</v>
      </c>
      <c r="E253" s="7">
        <v>0.05</v>
      </c>
      <c r="F253" s="7"/>
      <c r="G253" s="7"/>
    </row>
    <row r="254" spans="1:7">
      <c r="A254" s="8"/>
      <c r="B254" s="137" t="s">
        <v>532</v>
      </c>
      <c r="C254" s="9" t="s">
        <v>533</v>
      </c>
      <c r="D254" s="6" t="s">
        <v>79</v>
      </c>
      <c r="E254" s="7">
        <v>0.3</v>
      </c>
      <c r="F254" s="7"/>
      <c r="G254" s="7"/>
    </row>
    <row r="255" spans="1:7" ht="24">
      <c r="A255" s="8"/>
      <c r="B255" s="137" t="s">
        <v>534</v>
      </c>
      <c r="C255" s="9" t="s">
        <v>535</v>
      </c>
      <c r="D255" s="6" t="s">
        <v>15</v>
      </c>
      <c r="E255" s="7">
        <v>2</v>
      </c>
      <c r="F255" s="7"/>
      <c r="G255" s="7"/>
    </row>
    <row r="256" spans="1:7" ht="36">
      <c r="A256" s="8"/>
      <c r="B256" s="137" t="s">
        <v>82</v>
      </c>
      <c r="C256" s="9" t="s">
        <v>83</v>
      </c>
      <c r="D256" s="6" t="s">
        <v>8</v>
      </c>
      <c r="E256" s="7">
        <v>3.605</v>
      </c>
      <c r="F256" s="7"/>
      <c r="G256" s="7"/>
    </row>
    <row r="257" spans="1:7" ht="24">
      <c r="A257" s="8"/>
      <c r="B257" s="137" t="s">
        <v>86</v>
      </c>
      <c r="C257" s="9" t="s">
        <v>87</v>
      </c>
      <c r="D257" s="6" t="s">
        <v>8</v>
      </c>
      <c r="E257" s="7">
        <v>0.51500000000000001</v>
      </c>
      <c r="F257" s="7"/>
      <c r="G257" s="7"/>
    </row>
    <row r="258" spans="1:7" ht="36">
      <c r="A258" s="8"/>
      <c r="B258" s="137" t="s">
        <v>164</v>
      </c>
      <c r="C258" s="9" t="s">
        <v>165</v>
      </c>
      <c r="D258" s="6" t="s">
        <v>8</v>
      </c>
      <c r="E258" s="7">
        <v>3.605</v>
      </c>
      <c r="F258" s="7">
        <f>TRUNC(19.43,2)</f>
        <v>19.43</v>
      </c>
      <c r="G258" s="7">
        <f>TRUNC(E258*F258,2)</f>
        <v>70.040000000000006</v>
      </c>
    </row>
    <row r="259" spans="1:7" ht="36">
      <c r="A259" s="8"/>
      <c r="B259" s="137" t="s">
        <v>228</v>
      </c>
      <c r="C259" s="9" t="s">
        <v>229</v>
      </c>
      <c r="D259" s="6" t="s">
        <v>8</v>
      </c>
      <c r="E259" s="7">
        <v>0.51500000000000001</v>
      </c>
      <c r="F259" s="7"/>
      <c r="G259" s="7"/>
    </row>
    <row r="260" spans="1:7" ht="24">
      <c r="A260" s="8"/>
      <c r="B260" s="137" t="s">
        <v>536</v>
      </c>
      <c r="C260" s="9" t="s">
        <v>537</v>
      </c>
      <c r="D260" s="6" t="s">
        <v>85</v>
      </c>
      <c r="E260" s="7">
        <v>0.03</v>
      </c>
      <c r="F260" s="7"/>
      <c r="G260" s="7"/>
    </row>
    <row r="261" spans="1:7" ht="24">
      <c r="A261" s="8"/>
      <c r="B261" s="137" t="s">
        <v>538</v>
      </c>
      <c r="C261" s="9" t="s">
        <v>539</v>
      </c>
      <c r="D261" s="6" t="s">
        <v>85</v>
      </c>
      <c r="E261" s="7">
        <v>0.03</v>
      </c>
      <c r="F261" s="7"/>
      <c r="G261" s="7"/>
    </row>
    <row r="262" spans="1:7">
      <c r="A262" s="8"/>
      <c r="B262" s="137" t="s">
        <v>540</v>
      </c>
      <c r="C262" s="9" t="s">
        <v>541</v>
      </c>
      <c r="D262" s="6" t="s">
        <v>85</v>
      </c>
      <c r="E262" s="7">
        <v>0.03</v>
      </c>
      <c r="F262" s="7"/>
      <c r="G262" s="7"/>
    </row>
    <row r="263" spans="1:7">
      <c r="A263" s="8"/>
      <c r="B263" s="137"/>
      <c r="C263" s="9"/>
      <c r="D263" s="6"/>
      <c r="E263" s="7" t="s">
        <v>23</v>
      </c>
      <c r="F263" s="7"/>
      <c r="G263" s="7">
        <f>TRUNC(SUM(G246:G262),2)</f>
        <v>296.24</v>
      </c>
    </row>
    <row r="264" spans="1:7" ht="135.75" customHeight="1">
      <c r="A264" s="8" t="str">
        <f>Orçamento!A48</f>
        <v>3.9.2</v>
      </c>
      <c r="B264" s="137" t="s">
        <v>291</v>
      </c>
      <c r="C264" s="9" t="s">
        <v>292</v>
      </c>
      <c r="D264" s="6" t="s">
        <v>287</v>
      </c>
      <c r="E264" s="7"/>
      <c r="F264" s="7">
        <f>TRUNC(G272,2)</f>
        <v>160.57</v>
      </c>
      <c r="G264" s="7"/>
    </row>
    <row r="265" spans="1:7">
      <c r="A265" s="8"/>
      <c r="B265" s="91" t="s">
        <v>166</v>
      </c>
      <c r="C265" s="22" t="s">
        <v>205</v>
      </c>
      <c r="D265" s="6"/>
      <c r="E265" s="7"/>
      <c r="F265" s="7"/>
      <c r="G265" s="7"/>
    </row>
    <row r="266" spans="1:7">
      <c r="A266" s="8"/>
      <c r="B266" s="137" t="s">
        <v>293</v>
      </c>
      <c r="C266" s="9" t="s">
        <v>294</v>
      </c>
      <c r="D266" s="6" t="s">
        <v>15</v>
      </c>
      <c r="E266" s="7"/>
      <c r="F266" s="7">
        <v>4.83</v>
      </c>
      <c r="G266" s="7"/>
    </row>
    <row r="267" spans="1:7" ht="24">
      <c r="A267" s="8"/>
      <c r="B267" s="137"/>
      <c r="C267" s="9" t="s">
        <v>295</v>
      </c>
      <c r="D267" s="6" t="s">
        <v>15</v>
      </c>
      <c r="E267" s="7">
        <f>(1.12+0.452+0.2*2)*10.13</f>
        <v>19.97636</v>
      </c>
      <c r="F267" s="7">
        <v>4.83</v>
      </c>
      <c r="G267" s="7">
        <f>TRUNC(E267*F267,2)</f>
        <v>96.48</v>
      </c>
    </row>
    <row r="268" spans="1:7" ht="48">
      <c r="A268" s="8"/>
      <c r="B268" s="137" t="s">
        <v>289</v>
      </c>
      <c r="C268" s="9" t="s">
        <v>542</v>
      </c>
      <c r="D268" s="6" t="s">
        <v>79</v>
      </c>
      <c r="E268" s="7">
        <f>0.1*5+2*0.05</f>
        <v>0.6</v>
      </c>
      <c r="F268" s="7">
        <f>TRUNC(7.380034,2)</f>
        <v>7.38</v>
      </c>
      <c r="G268" s="7">
        <f>TRUNC(E268*F268,2)</f>
        <v>4.42</v>
      </c>
    </row>
    <row r="269" spans="1:7" ht="72">
      <c r="A269" s="8"/>
      <c r="B269" s="137" t="s">
        <v>296</v>
      </c>
      <c r="C269" s="9" t="s">
        <v>543</v>
      </c>
      <c r="D269" s="6" t="s">
        <v>79</v>
      </c>
      <c r="E269" s="7">
        <f>0.1*4</f>
        <v>0.4</v>
      </c>
      <c r="F269" s="7">
        <f>TRUNC(110.420705,2)</f>
        <v>110.42</v>
      </c>
      <c r="G269" s="7">
        <f>TRUNC(E269*F269,2)</f>
        <v>44.16</v>
      </c>
    </row>
    <row r="270" spans="1:7" ht="36">
      <c r="A270" s="8"/>
      <c r="B270" s="137" t="s">
        <v>288</v>
      </c>
      <c r="C270" s="9" t="s">
        <v>544</v>
      </c>
      <c r="D270" s="6" t="s">
        <v>79</v>
      </c>
      <c r="E270" s="7">
        <f>0.5</f>
        <v>0.5</v>
      </c>
      <c r="F270" s="7">
        <f>TRUNC(15.49326,2)</f>
        <v>15.49</v>
      </c>
      <c r="G270" s="7">
        <f t="shared" ref="G270:G271" si="10">TRUNC(E270*F270,2)</f>
        <v>7.74</v>
      </c>
    </row>
    <row r="271" spans="1:7" ht="108">
      <c r="A271" s="8"/>
      <c r="B271" s="137" t="s">
        <v>290</v>
      </c>
      <c r="C271" s="9" t="s">
        <v>545</v>
      </c>
      <c r="D271" s="6" t="s">
        <v>85</v>
      </c>
      <c r="E271" s="7">
        <f>(0.25*2)*PI()*0.125^2</f>
        <v>2.4543692606170259E-2</v>
      </c>
      <c r="F271" s="7">
        <f>TRUNC(316.859802,2)</f>
        <v>316.85000000000002</v>
      </c>
      <c r="G271" s="7">
        <f t="shared" si="10"/>
        <v>7.77</v>
      </c>
    </row>
    <row r="272" spans="1:7">
      <c r="A272" s="8"/>
      <c r="B272" s="137"/>
      <c r="C272" s="9"/>
      <c r="D272" s="6"/>
      <c r="E272" s="7" t="s">
        <v>23</v>
      </c>
      <c r="F272" s="7"/>
      <c r="G272" s="7">
        <f>SUM(G267:G271)</f>
        <v>160.57000000000002</v>
      </c>
    </row>
    <row r="273" spans="1:7">
      <c r="A273" s="8" t="str">
        <f>Orçamento!A50</f>
        <v>4.0</v>
      </c>
      <c r="B273" s="137"/>
      <c r="C273" s="17" t="str">
        <f>Orçamento!C50</f>
        <v>ILUMINAÇÃO</v>
      </c>
      <c r="D273" s="6"/>
      <c r="E273" s="7"/>
      <c r="F273" s="7"/>
      <c r="G273" s="7"/>
    </row>
    <row r="274" spans="1:7" ht="84">
      <c r="A274" s="8" t="str">
        <f>Orçamento!A51</f>
        <v>4.1</v>
      </c>
      <c r="B274" s="137" t="s">
        <v>570</v>
      </c>
      <c r="C274" s="9" t="s">
        <v>546</v>
      </c>
      <c r="D274" s="6" t="s">
        <v>14</v>
      </c>
      <c r="E274" s="7">
        <v>1</v>
      </c>
      <c r="F274" s="7">
        <f>TRUNC(92.363084,2)</f>
        <v>92.36</v>
      </c>
      <c r="G274" s="7">
        <f t="shared" ref="G274:G279" si="11">TRUNC(E274*F274,2)</f>
        <v>92.36</v>
      </c>
    </row>
    <row r="275" spans="1:7" ht="24">
      <c r="A275" s="8"/>
      <c r="B275" s="137" t="s">
        <v>547</v>
      </c>
      <c r="C275" s="9" t="s">
        <v>548</v>
      </c>
      <c r="D275" s="6" t="s">
        <v>14</v>
      </c>
      <c r="E275" s="7">
        <v>1</v>
      </c>
      <c r="F275" s="7">
        <f>TRUNC(14.16,2)</f>
        <v>14.16</v>
      </c>
      <c r="G275" s="7">
        <f t="shared" si="11"/>
        <v>14.16</v>
      </c>
    </row>
    <row r="276" spans="1:7" ht="36">
      <c r="A276" s="8"/>
      <c r="B276" s="137" t="s">
        <v>549</v>
      </c>
      <c r="C276" s="9" t="s">
        <v>550</v>
      </c>
      <c r="D276" s="6" t="s">
        <v>14</v>
      </c>
      <c r="E276" s="7">
        <v>0.33</v>
      </c>
      <c r="F276" s="7">
        <f>TRUNC(73.23,2)</f>
        <v>73.23</v>
      </c>
      <c r="G276" s="7">
        <f t="shared" si="11"/>
        <v>24.16</v>
      </c>
    </row>
    <row r="277" spans="1:7" ht="24">
      <c r="A277" s="8"/>
      <c r="B277" s="137" t="s">
        <v>551</v>
      </c>
      <c r="C277" s="9" t="s">
        <v>552</v>
      </c>
      <c r="D277" s="6" t="s">
        <v>15</v>
      </c>
      <c r="E277" s="7">
        <v>0.12</v>
      </c>
      <c r="F277" s="7">
        <f>TRUNC(4.376,2)</f>
        <v>4.37</v>
      </c>
      <c r="G277" s="7">
        <f t="shared" si="11"/>
        <v>0.52</v>
      </c>
    </row>
    <row r="278" spans="1:7" ht="48">
      <c r="A278" s="8"/>
      <c r="B278" s="137" t="s">
        <v>460</v>
      </c>
      <c r="C278" s="9" t="s">
        <v>461</v>
      </c>
      <c r="D278" s="6" t="s">
        <v>8</v>
      </c>
      <c r="E278" s="7">
        <v>4.12</v>
      </c>
      <c r="F278" s="7">
        <f>TRUNC(11.12,2)</f>
        <v>11.12</v>
      </c>
      <c r="G278" s="7">
        <f t="shared" si="11"/>
        <v>45.81</v>
      </c>
    </row>
    <row r="279" spans="1:7">
      <c r="A279" s="8"/>
      <c r="B279" s="137" t="s">
        <v>571</v>
      </c>
      <c r="C279" s="9" t="s">
        <v>572</v>
      </c>
      <c r="D279" s="6" t="s">
        <v>85</v>
      </c>
      <c r="E279" s="7">
        <v>0.04</v>
      </c>
      <c r="F279" s="7">
        <f>TRUNC(192.4416,2)</f>
        <v>192.44</v>
      </c>
      <c r="G279" s="7">
        <f t="shared" si="11"/>
        <v>7.69</v>
      </c>
    </row>
    <row r="280" spans="1:7">
      <c r="A280" s="8"/>
      <c r="B280" s="137"/>
      <c r="C280" s="9"/>
      <c r="D280" s="6"/>
      <c r="E280" s="7" t="s">
        <v>23</v>
      </c>
      <c r="F280" s="7"/>
      <c r="G280" s="7">
        <f>TRUNC(SUM(G275:G279),2)</f>
        <v>92.34</v>
      </c>
    </row>
    <row r="281" spans="1:7" ht="132">
      <c r="A281" s="8" t="str">
        <f>Orçamento!A52</f>
        <v>4.2</v>
      </c>
      <c r="B281" s="137" t="s">
        <v>298</v>
      </c>
      <c r="C281" s="9" t="s">
        <v>299</v>
      </c>
      <c r="D281" s="6" t="s">
        <v>79</v>
      </c>
      <c r="E281" s="7">
        <v>1</v>
      </c>
      <c r="F281" s="7">
        <f>TRUNC(9.341375,2)</f>
        <v>9.34</v>
      </c>
      <c r="G281" s="7">
        <f>TRUNC(E281*F281,2)</f>
        <v>9.34</v>
      </c>
    </row>
    <row r="282" spans="1:7" ht="48">
      <c r="A282" s="8"/>
      <c r="B282" s="137" t="s">
        <v>553</v>
      </c>
      <c r="C282" s="9" t="s">
        <v>554</v>
      </c>
      <c r="D282" s="6" t="s">
        <v>14</v>
      </c>
      <c r="E282" s="7">
        <v>0.05</v>
      </c>
      <c r="F282" s="7">
        <f>TRUNC(21.4141,2)</f>
        <v>21.41</v>
      </c>
      <c r="G282" s="7">
        <f>TRUNC(E282*F282,2)</f>
        <v>1.07</v>
      </c>
    </row>
    <row r="283" spans="1:7" ht="48">
      <c r="A283" s="8"/>
      <c r="B283" s="137" t="s">
        <v>555</v>
      </c>
      <c r="C283" s="9" t="s">
        <v>556</v>
      </c>
      <c r="D283" s="6" t="s">
        <v>14</v>
      </c>
      <c r="E283" s="7">
        <v>0.05</v>
      </c>
      <c r="F283" s="7">
        <f>TRUNC(5.7778,2)</f>
        <v>5.77</v>
      </c>
      <c r="G283" s="7">
        <f>TRUNC(E283*F283,2)</f>
        <v>0.28000000000000003</v>
      </c>
    </row>
    <row r="284" spans="1:7" ht="60">
      <c r="A284" s="8"/>
      <c r="B284" s="137" t="s">
        <v>557</v>
      </c>
      <c r="C284" s="9" t="s">
        <v>558</v>
      </c>
      <c r="D284" s="6" t="s">
        <v>79</v>
      </c>
      <c r="E284" s="7">
        <v>1</v>
      </c>
      <c r="F284" s="7">
        <f>TRUNC(1.9192,2)</f>
        <v>1.91</v>
      </c>
      <c r="G284" s="7">
        <f>TRUNC(E284*F284,2)</f>
        <v>1.91</v>
      </c>
    </row>
    <row r="285" spans="1:7" ht="36">
      <c r="A285" s="8"/>
      <c r="B285" s="137" t="s">
        <v>82</v>
      </c>
      <c r="C285" s="9" t="s">
        <v>83</v>
      </c>
      <c r="D285" s="6" t="s">
        <v>8</v>
      </c>
      <c r="E285" s="7">
        <v>0.46350000000000002</v>
      </c>
      <c r="F285" s="7">
        <f>TRUNC(13.08,2)</f>
        <v>13.08</v>
      </c>
      <c r="G285" s="7">
        <f>TRUNC(E285*F285,2)</f>
        <v>6.06</v>
      </c>
    </row>
    <row r="286" spans="1:7">
      <c r="A286" s="8"/>
      <c r="B286" s="137"/>
      <c r="C286" s="9"/>
      <c r="D286" s="6"/>
      <c r="E286" s="7" t="s">
        <v>23</v>
      </c>
      <c r="F286" s="7"/>
      <c r="G286" s="7">
        <f>TRUNC(SUM(G282:G285),2)</f>
        <v>9.32</v>
      </c>
    </row>
    <row r="287" spans="1:7" ht="84">
      <c r="A287" s="8" t="str">
        <f>Orçamento!A53</f>
        <v>4.3</v>
      </c>
      <c r="B287" s="137" t="s">
        <v>304</v>
      </c>
      <c r="C287" s="9" t="s">
        <v>305</v>
      </c>
      <c r="D287" s="6" t="s">
        <v>79</v>
      </c>
      <c r="E287" s="7">
        <v>1</v>
      </c>
      <c r="F287" s="7">
        <f>TRUNC(8.294924,2)</f>
        <v>8.2899999999999991</v>
      </c>
      <c r="G287" s="7">
        <f>TRUNC(E287*F287,2)</f>
        <v>8.2899999999999991</v>
      </c>
    </row>
    <row r="288" spans="1:7" ht="48">
      <c r="A288" s="8"/>
      <c r="B288" s="137" t="s">
        <v>559</v>
      </c>
      <c r="C288" s="9" t="s">
        <v>560</v>
      </c>
      <c r="D288" s="6" t="s">
        <v>14</v>
      </c>
      <c r="E288" s="7">
        <v>0.38500000000000001</v>
      </c>
      <c r="F288" s="7">
        <f>TRUNC(8.22,2)</f>
        <v>8.2200000000000006</v>
      </c>
      <c r="G288" s="7">
        <f>TRUNC(E288*F288,2)</f>
        <v>3.16</v>
      </c>
    </row>
    <row r="289" spans="1:7" ht="36">
      <c r="A289" s="8"/>
      <c r="B289" s="137" t="s">
        <v>82</v>
      </c>
      <c r="C289" s="9" t="s">
        <v>83</v>
      </c>
      <c r="D289" s="6" t="s">
        <v>8</v>
      </c>
      <c r="E289" s="7">
        <v>0.1648</v>
      </c>
      <c r="F289" s="7">
        <f>TRUNC(13.08,2)</f>
        <v>13.08</v>
      </c>
      <c r="G289" s="7">
        <f>TRUNC(E289*F289,2)</f>
        <v>2.15</v>
      </c>
    </row>
    <row r="290" spans="1:7" ht="36">
      <c r="A290" s="8"/>
      <c r="B290" s="137" t="s">
        <v>561</v>
      </c>
      <c r="C290" s="9" t="s">
        <v>562</v>
      </c>
      <c r="D290" s="6" t="s">
        <v>8</v>
      </c>
      <c r="E290" s="7">
        <v>0.1648</v>
      </c>
      <c r="F290" s="7">
        <f>TRUNC(18.05,2)</f>
        <v>18.05</v>
      </c>
      <c r="G290" s="7">
        <f>TRUNC(E290*F290,2)</f>
        <v>2.97</v>
      </c>
    </row>
    <row r="291" spans="1:7">
      <c r="A291" s="8"/>
      <c r="B291" s="137"/>
      <c r="C291" s="9"/>
      <c r="D291" s="6"/>
      <c r="E291" s="7" t="s">
        <v>23</v>
      </c>
      <c r="F291" s="7"/>
      <c r="G291" s="7">
        <f>TRUNC(SUM(G288:G290),2)</f>
        <v>8.2799999999999994</v>
      </c>
    </row>
    <row r="292" spans="1:7" ht="96">
      <c r="A292" s="8" t="str">
        <f>Orçamento!A54</f>
        <v>4.4</v>
      </c>
      <c r="B292" s="137" t="s">
        <v>301</v>
      </c>
      <c r="C292" s="9" t="s">
        <v>302</v>
      </c>
      <c r="D292" s="6" t="s">
        <v>79</v>
      </c>
      <c r="E292" s="7">
        <v>1</v>
      </c>
      <c r="F292" s="7">
        <f>TRUNC(6.273834,2)</f>
        <v>6.27</v>
      </c>
      <c r="G292" s="7">
        <f>TRUNC(E292*F292,2)</f>
        <v>6.27</v>
      </c>
    </row>
    <row r="293" spans="1:7" ht="36">
      <c r="A293" s="8"/>
      <c r="B293" s="137" t="s">
        <v>563</v>
      </c>
      <c r="C293" s="9" t="s">
        <v>564</v>
      </c>
      <c r="D293" s="6" t="s">
        <v>79</v>
      </c>
      <c r="E293" s="7">
        <v>1</v>
      </c>
      <c r="F293" s="7">
        <f>TRUNC(4.35,2)</f>
        <v>4.3499999999999996</v>
      </c>
      <c r="G293" s="7">
        <f>TRUNC(E293*F293,2)</f>
        <v>4.3499999999999996</v>
      </c>
    </row>
    <row r="294" spans="1:7" ht="36">
      <c r="A294" s="8"/>
      <c r="B294" s="137" t="s">
        <v>82</v>
      </c>
      <c r="C294" s="9" t="s">
        <v>83</v>
      </c>
      <c r="D294" s="6" t="s">
        <v>8</v>
      </c>
      <c r="E294" s="7">
        <v>6.1800000000000001E-2</v>
      </c>
      <c r="F294" s="7">
        <f>TRUNC(13.08,2)</f>
        <v>13.08</v>
      </c>
      <c r="G294" s="7">
        <f>TRUNC(E294*F294,2)</f>
        <v>0.8</v>
      </c>
    </row>
    <row r="295" spans="1:7" ht="36">
      <c r="A295" s="8"/>
      <c r="B295" s="137" t="s">
        <v>561</v>
      </c>
      <c r="C295" s="9" t="s">
        <v>562</v>
      </c>
      <c r="D295" s="6" t="s">
        <v>8</v>
      </c>
      <c r="E295" s="7">
        <v>6.1800000000000001E-2</v>
      </c>
      <c r="F295" s="7">
        <f>TRUNC(18.05,2)</f>
        <v>18.05</v>
      </c>
      <c r="G295" s="7">
        <f>TRUNC(E295*F295,2)</f>
        <v>1.1100000000000001</v>
      </c>
    </row>
    <row r="296" spans="1:7">
      <c r="A296" s="8"/>
      <c r="B296" s="137"/>
      <c r="C296" s="9"/>
      <c r="D296" s="6"/>
      <c r="E296" s="7" t="s">
        <v>23</v>
      </c>
      <c r="F296" s="7"/>
      <c r="G296" s="7">
        <f>TRUNC(SUM(G293:G295),2)</f>
        <v>6.26</v>
      </c>
    </row>
    <row r="297" spans="1:7" ht="120">
      <c r="A297" s="8" t="str">
        <f>Orçamento!A55</f>
        <v>4.5</v>
      </c>
      <c r="B297" s="137" t="s">
        <v>568</v>
      </c>
      <c r="C297" s="9" t="s">
        <v>565</v>
      </c>
      <c r="D297" s="6" t="s">
        <v>287</v>
      </c>
      <c r="E297" s="7"/>
      <c r="F297" s="7">
        <f>G302</f>
        <v>872.49</v>
      </c>
      <c r="G297" s="7"/>
    </row>
    <row r="298" spans="1:7">
      <c r="A298" s="8"/>
      <c r="B298" s="91" t="s">
        <v>166</v>
      </c>
      <c r="C298" s="22" t="s">
        <v>205</v>
      </c>
      <c r="D298" s="6"/>
      <c r="E298" s="7"/>
      <c r="F298" s="7"/>
      <c r="G298" s="7"/>
    </row>
    <row r="299" spans="1:7" ht="48">
      <c r="A299" s="8"/>
      <c r="B299" s="137" t="s">
        <v>566</v>
      </c>
      <c r="C299" s="9" t="s">
        <v>567</v>
      </c>
      <c r="D299" s="6" t="s">
        <v>14</v>
      </c>
      <c r="E299" s="7">
        <v>1</v>
      </c>
      <c r="F299" s="7">
        <f>TRUNC(620,2)</f>
        <v>620</v>
      </c>
      <c r="G299" s="7">
        <f t="shared" ref="G299:G301" si="12">TRUNC(E299*F299,2)</f>
        <v>620</v>
      </c>
    </row>
    <row r="300" spans="1:7" ht="60">
      <c r="A300" s="8"/>
      <c r="B300" s="137" t="s">
        <v>430</v>
      </c>
      <c r="C300" s="9" t="s">
        <v>569</v>
      </c>
      <c r="D300" s="6" t="s">
        <v>14</v>
      </c>
      <c r="E300" s="7">
        <v>1</v>
      </c>
      <c r="F300" s="7">
        <v>130.68</v>
      </c>
      <c r="G300" s="7">
        <f t="shared" si="12"/>
        <v>130.68</v>
      </c>
    </row>
    <row r="301" spans="1:7" ht="72">
      <c r="A301" s="8"/>
      <c r="B301" s="137" t="s">
        <v>114</v>
      </c>
      <c r="C301" s="9" t="s">
        <v>144</v>
      </c>
      <c r="D301" s="6" t="s">
        <v>14</v>
      </c>
      <c r="E301" s="7">
        <v>1</v>
      </c>
      <c r="F301" s="7">
        <f>TRUNC(121.819935,2)</f>
        <v>121.81</v>
      </c>
      <c r="G301" s="7">
        <f t="shared" si="12"/>
        <v>121.81</v>
      </c>
    </row>
    <row r="302" spans="1:7">
      <c r="A302" s="8"/>
      <c r="B302" s="137"/>
      <c r="C302" s="9"/>
      <c r="D302" s="6"/>
      <c r="E302" s="7" t="s">
        <v>23</v>
      </c>
      <c r="F302" s="7"/>
      <c r="G302" s="7">
        <f>SUM(G299:G301)</f>
        <v>872.49</v>
      </c>
    </row>
    <row r="303" spans="1:7">
      <c r="A303" s="17" t="str">
        <f>Orçamento!A57</f>
        <v>5.0</v>
      </c>
      <c r="B303" s="17"/>
      <c r="C303" s="17" t="str">
        <f>Orçamento!C57</f>
        <v>PAISAGISMO</v>
      </c>
      <c r="D303" s="6"/>
      <c r="E303" s="7"/>
      <c r="F303" s="7"/>
      <c r="G303" s="7"/>
    </row>
    <row r="304" spans="1:7" ht="36">
      <c r="A304" s="8" t="str">
        <f>Orçamento!A58</f>
        <v>5.1</v>
      </c>
      <c r="B304" s="137" t="s">
        <v>308</v>
      </c>
      <c r="C304" s="9" t="s">
        <v>309</v>
      </c>
      <c r="D304" s="6" t="s">
        <v>85</v>
      </c>
      <c r="E304" s="7">
        <v>1</v>
      </c>
      <c r="F304" s="7">
        <f>TRUNC(53.6517,2)</f>
        <v>53.65</v>
      </c>
      <c r="G304" s="7">
        <f>TRUNC(E304*F304,2)</f>
        <v>53.65</v>
      </c>
    </row>
    <row r="305" spans="1:7">
      <c r="A305" s="8"/>
      <c r="B305" s="137" t="s">
        <v>573</v>
      </c>
      <c r="C305" s="9" t="s">
        <v>574</v>
      </c>
      <c r="D305" s="6" t="s">
        <v>85</v>
      </c>
      <c r="E305" s="7">
        <v>0.37</v>
      </c>
      <c r="F305" s="7">
        <f>TRUNC(130,2)</f>
        <v>130</v>
      </c>
      <c r="G305" s="7">
        <f>TRUNC(E305*F305,2)</f>
        <v>48.1</v>
      </c>
    </row>
    <row r="306" spans="1:7" ht="36">
      <c r="A306" s="8"/>
      <c r="B306" s="137" t="s">
        <v>575</v>
      </c>
      <c r="C306" s="9" t="s">
        <v>576</v>
      </c>
      <c r="D306" s="6" t="s">
        <v>8</v>
      </c>
      <c r="E306" s="7">
        <v>0.51500000000000001</v>
      </c>
      <c r="F306" s="7">
        <f>TRUNC(10.78,2)</f>
        <v>10.78</v>
      </c>
      <c r="G306" s="7">
        <f>TRUNC(E306*F306,2)</f>
        <v>5.55</v>
      </c>
    </row>
    <row r="307" spans="1:7">
      <c r="A307" s="8"/>
      <c r="B307" s="137"/>
      <c r="C307" s="9"/>
      <c r="D307" s="6"/>
      <c r="E307" s="7" t="s">
        <v>23</v>
      </c>
      <c r="F307" s="7"/>
      <c r="G307" s="7">
        <f>TRUNC(SUM(G305:G306),2)</f>
        <v>53.65</v>
      </c>
    </row>
    <row r="308" spans="1:7" ht="84">
      <c r="A308" s="8" t="str">
        <f>Orçamento!A59</f>
        <v>5.2</v>
      </c>
      <c r="B308" s="137" t="s">
        <v>351</v>
      </c>
      <c r="C308" s="9" t="s">
        <v>311</v>
      </c>
      <c r="D308" s="6" t="s">
        <v>14</v>
      </c>
      <c r="E308" s="7"/>
      <c r="F308" s="7">
        <f>G314</f>
        <v>3</v>
      </c>
      <c r="G308" s="7"/>
    </row>
    <row r="309" spans="1:7">
      <c r="A309" s="8"/>
      <c r="B309" s="91" t="s">
        <v>166</v>
      </c>
      <c r="C309" s="22" t="s">
        <v>352</v>
      </c>
      <c r="D309" s="6"/>
      <c r="E309" s="7"/>
      <c r="F309" s="7"/>
      <c r="G309" s="7"/>
    </row>
    <row r="310" spans="1:7" ht="84">
      <c r="A310" s="8"/>
      <c r="B310" s="137" t="s">
        <v>310</v>
      </c>
      <c r="C310" s="9" t="s">
        <v>311</v>
      </c>
      <c r="D310" s="6" t="s">
        <v>78</v>
      </c>
      <c r="E310" s="7">
        <v>1</v>
      </c>
      <c r="F310" s="7">
        <f>TRUNC(12,2)</f>
        <v>12</v>
      </c>
      <c r="G310" s="7"/>
    </row>
    <row r="311" spans="1:7" ht="36">
      <c r="A311" s="8"/>
      <c r="B311" s="137" t="s">
        <v>577</v>
      </c>
      <c r="C311" s="9" t="s">
        <v>578</v>
      </c>
      <c r="D311" s="6" t="s">
        <v>14</v>
      </c>
      <c r="E311" s="7">
        <v>4</v>
      </c>
      <c r="F311" s="7">
        <f>TRUNC(3,2)</f>
        <v>3</v>
      </c>
      <c r="G311" s="7">
        <f>TRUNC(E311*F311,2)</f>
        <v>12</v>
      </c>
    </row>
    <row r="312" spans="1:7">
      <c r="A312" s="8"/>
      <c r="B312" s="137"/>
      <c r="C312" s="9"/>
      <c r="D312" s="6"/>
      <c r="E312" s="7" t="s">
        <v>23</v>
      </c>
      <c r="F312" s="7"/>
      <c r="G312" s="7">
        <f>TRUNC(SUM(G311:G311),2)</f>
        <v>12</v>
      </c>
    </row>
    <row r="313" spans="1:7">
      <c r="A313" s="8"/>
      <c r="B313" s="137"/>
      <c r="C313" s="9"/>
      <c r="D313" s="6"/>
      <c r="E313" s="7" t="s">
        <v>4</v>
      </c>
      <c r="F313" s="7"/>
      <c r="G313" s="7">
        <v>4</v>
      </c>
    </row>
    <row r="314" spans="1:7">
      <c r="A314" s="8"/>
      <c r="B314" s="137"/>
      <c r="C314" s="9"/>
      <c r="D314" s="6"/>
      <c r="E314" s="7" t="s">
        <v>23</v>
      </c>
      <c r="F314" s="7"/>
      <c r="G314" s="7">
        <f>G311/G313</f>
        <v>3</v>
      </c>
    </row>
    <row r="315" spans="1:7" ht="48">
      <c r="A315" s="8" t="str">
        <f>Orçamento!A60</f>
        <v>5.3</v>
      </c>
      <c r="B315" s="137" t="s">
        <v>353</v>
      </c>
      <c r="C315" s="9" t="s">
        <v>315</v>
      </c>
      <c r="D315" s="6" t="s">
        <v>14</v>
      </c>
      <c r="E315" s="7"/>
      <c r="F315" s="7">
        <f>G321</f>
        <v>0.7</v>
      </c>
      <c r="G315" s="7"/>
    </row>
    <row r="316" spans="1:7">
      <c r="A316" s="8"/>
      <c r="B316" s="91" t="s">
        <v>166</v>
      </c>
      <c r="C316" s="22" t="s">
        <v>352</v>
      </c>
      <c r="D316" s="6"/>
      <c r="E316" s="7"/>
      <c r="F316" s="7"/>
      <c r="G316" s="7"/>
    </row>
    <row r="317" spans="1:7" ht="48">
      <c r="A317" s="8"/>
      <c r="B317" s="137" t="s">
        <v>314</v>
      </c>
      <c r="C317" s="9" t="s">
        <v>315</v>
      </c>
      <c r="D317" s="6" t="s">
        <v>78</v>
      </c>
      <c r="E317" s="7">
        <v>1</v>
      </c>
      <c r="F317" s="7"/>
      <c r="G317" s="7"/>
    </row>
    <row r="318" spans="1:7">
      <c r="A318" s="8"/>
      <c r="B318" s="137" t="s">
        <v>579</v>
      </c>
      <c r="C318" s="9" t="s">
        <v>580</v>
      </c>
      <c r="D318" s="6" t="s">
        <v>14</v>
      </c>
      <c r="E318" s="7">
        <v>4</v>
      </c>
      <c r="F318" s="7">
        <f>TRUNC(0.7,2)</f>
        <v>0.7</v>
      </c>
      <c r="G318" s="7">
        <f>TRUNC(E318*F318,2)</f>
        <v>2.8</v>
      </c>
    </row>
    <row r="319" spans="1:7">
      <c r="A319" s="8"/>
      <c r="B319" s="137"/>
      <c r="C319" s="9"/>
      <c r="D319" s="6"/>
      <c r="E319" s="7" t="s">
        <v>23</v>
      </c>
      <c r="F319" s="7"/>
      <c r="G319" s="7">
        <f>TRUNC(SUM(G318:G318),2)</f>
        <v>2.8</v>
      </c>
    </row>
    <row r="320" spans="1:7">
      <c r="A320" s="8"/>
      <c r="B320" s="137"/>
      <c r="C320" s="9"/>
      <c r="D320" s="6"/>
      <c r="E320" s="7" t="s">
        <v>4</v>
      </c>
      <c r="F320" s="7"/>
      <c r="G320" s="7">
        <v>4</v>
      </c>
    </row>
    <row r="321" spans="1:7">
      <c r="A321" s="8"/>
      <c r="B321" s="137"/>
      <c r="C321" s="9"/>
      <c r="D321" s="6"/>
      <c r="E321" s="7" t="s">
        <v>23</v>
      </c>
      <c r="F321" s="7"/>
      <c r="G321" s="7">
        <f>G318/G320</f>
        <v>0.7</v>
      </c>
    </row>
    <row r="322" spans="1:7" ht="96">
      <c r="A322" s="8" t="str">
        <f>Orçamento!A61</f>
        <v>5.4</v>
      </c>
      <c r="B322" s="137" t="s">
        <v>354</v>
      </c>
      <c r="C322" s="9" t="s">
        <v>313</v>
      </c>
      <c r="D322" s="6" t="s">
        <v>14</v>
      </c>
      <c r="E322" s="7"/>
      <c r="F322" s="7">
        <f>G328</f>
        <v>3.3</v>
      </c>
      <c r="G322" s="7"/>
    </row>
    <row r="323" spans="1:7">
      <c r="A323" s="8"/>
      <c r="B323" s="91" t="s">
        <v>166</v>
      </c>
      <c r="C323" s="22" t="s">
        <v>352</v>
      </c>
      <c r="D323" s="6"/>
      <c r="E323" s="7"/>
      <c r="F323" s="7"/>
      <c r="G323" s="7"/>
    </row>
    <row r="324" spans="1:7" ht="96">
      <c r="A324" s="8"/>
      <c r="B324" s="137" t="s">
        <v>312</v>
      </c>
      <c r="C324" s="9" t="s">
        <v>313</v>
      </c>
      <c r="D324" s="6" t="s">
        <v>78</v>
      </c>
      <c r="E324" s="7"/>
      <c r="F324" s="7"/>
      <c r="G324" s="7"/>
    </row>
    <row r="325" spans="1:7" ht="24">
      <c r="A325" s="8"/>
      <c r="B325" s="137" t="s">
        <v>581</v>
      </c>
      <c r="C325" s="9" t="s">
        <v>582</v>
      </c>
      <c r="D325" s="6" t="s">
        <v>14</v>
      </c>
      <c r="E325" s="7">
        <v>12</v>
      </c>
      <c r="F325" s="7">
        <f>TRUNC(1.1,2)</f>
        <v>1.1000000000000001</v>
      </c>
      <c r="G325" s="7">
        <f>TRUNC(E325*F325,2)</f>
        <v>13.2</v>
      </c>
    </row>
    <row r="326" spans="1:7">
      <c r="A326" s="8"/>
      <c r="B326" s="137"/>
      <c r="C326" s="9"/>
      <c r="D326" s="6"/>
      <c r="E326" s="7" t="s">
        <v>23</v>
      </c>
      <c r="F326" s="7"/>
      <c r="G326" s="7">
        <f>TRUNC(SUM(G325:G325),2)</f>
        <v>13.2</v>
      </c>
    </row>
    <row r="327" spans="1:7">
      <c r="A327" s="8"/>
      <c r="B327" s="137"/>
      <c r="C327" s="9"/>
      <c r="D327" s="6"/>
      <c r="E327" s="7" t="s">
        <v>4</v>
      </c>
      <c r="F327" s="7"/>
      <c r="G327" s="7">
        <v>4</v>
      </c>
    </row>
    <row r="328" spans="1:7">
      <c r="A328" s="8"/>
      <c r="B328" s="137"/>
      <c r="C328" s="9"/>
      <c r="D328" s="6"/>
      <c r="E328" s="7" t="s">
        <v>23</v>
      </c>
      <c r="F328" s="7"/>
      <c r="G328" s="7">
        <f>G325/G327</f>
        <v>3.3</v>
      </c>
    </row>
    <row r="329" spans="1:7" ht="48">
      <c r="A329" s="8" t="str">
        <f>Orçamento!A62</f>
        <v>5.5</v>
      </c>
      <c r="B329" s="137" t="s">
        <v>355</v>
      </c>
      <c r="C329" s="9" t="s">
        <v>317</v>
      </c>
      <c r="D329" s="6" t="s">
        <v>14</v>
      </c>
      <c r="E329" s="7"/>
      <c r="F329" s="7">
        <f>G335</f>
        <v>2.1</v>
      </c>
      <c r="G329" s="7"/>
    </row>
    <row r="330" spans="1:7">
      <c r="A330" s="8"/>
      <c r="B330" s="91" t="s">
        <v>166</v>
      </c>
      <c r="C330" s="22" t="s">
        <v>352</v>
      </c>
      <c r="D330" s="6"/>
      <c r="E330" s="7"/>
      <c r="F330" s="7"/>
      <c r="G330" s="7"/>
    </row>
    <row r="331" spans="1:7" ht="48">
      <c r="A331" s="8"/>
      <c r="B331" s="137" t="s">
        <v>316</v>
      </c>
      <c r="C331" s="9" t="s">
        <v>317</v>
      </c>
      <c r="D331" s="6" t="s">
        <v>78</v>
      </c>
      <c r="E331" s="7">
        <v>1</v>
      </c>
      <c r="F331" s="7"/>
      <c r="G331" s="7"/>
    </row>
    <row r="332" spans="1:7">
      <c r="A332" s="8"/>
      <c r="B332" s="137" t="s">
        <v>579</v>
      </c>
      <c r="C332" s="9" t="s">
        <v>580</v>
      </c>
      <c r="D332" s="6" t="s">
        <v>14</v>
      </c>
      <c r="E332" s="7">
        <v>12</v>
      </c>
      <c r="F332" s="7">
        <f>TRUNC(0.7,2)</f>
        <v>0.7</v>
      </c>
      <c r="G332" s="7">
        <f>TRUNC(E332*F332,2)</f>
        <v>8.4</v>
      </c>
    </row>
    <row r="333" spans="1:7">
      <c r="A333" s="8"/>
      <c r="B333" s="137"/>
      <c r="C333" s="9"/>
      <c r="D333" s="6"/>
      <c r="E333" s="7" t="s">
        <v>23</v>
      </c>
      <c r="F333" s="7"/>
      <c r="G333" s="7">
        <f>TRUNC(SUM(G332:G332),2)</f>
        <v>8.4</v>
      </c>
    </row>
    <row r="334" spans="1:7">
      <c r="A334" s="8"/>
      <c r="B334" s="137"/>
      <c r="C334" s="9"/>
      <c r="D334" s="6"/>
      <c r="E334" s="7" t="s">
        <v>4</v>
      </c>
      <c r="F334" s="7"/>
      <c r="G334" s="7">
        <v>4</v>
      </c>
    </row>
    <row r="335" spans="1:7">
      <c r="A335" s="8"/>
      <c r="B335" s="137"/>
      <c r="C335" s="9"/>
      <c r="D335" s="6"/>
      <c r="E335" s="7" t="s">
        <v>23</v>
      </c>
      <c r="F335" s="7"/>
      <c r="G335" s="7">
        <f>G332/G334</f>
        <v>2.1</v>
      </c>
    </row>
    <row r="336" spans="1:7">
      <c r="A336" s="17" t="str">
        <f>Orçamento!A65</f>
        <v>6.0</v>
      </c>
      <c r="B336" s="17"/>
      <c r="C336" s="18" t="str">
        <f>Orçamento!C65</f>
        <v>ABRIGOS</v>
      </c>
      <c r="D336" s="6"/>
      <c r="E336" s="7"/>
      <c r="F336" s="7"/>
      <c r="G336" s="7"/>
    </row>
    <row r="337" spans="1:7">
      <c r="A337" s="17" t="str">
        <f>Orçamento!A66</f>
        <v>6.1</v>
      </c>
      <c r="B337" s="17"/>
      <c r="C337" s="18" t="str">
        <f>Orçamento!C66</f>
        <v>FUNDAÇÃO</v>
      </c>
      <c r="D337" s="6"/>
      <c r="E337" s="7"/>
      <c r="F337" s="7"/>
      <c r="G337" s="7"/>
    </row>
    <row r="338" spans="1:7" ht="36">
      <c r="A338" s="109" t="str">
        <f>Orçamento!A67</f>
        <v>6.1.1</v>
      </c>
      <c r="B338" s="137" t="s">
        <v>361</v>
      </c>
      <c r="C338" s="9" t="s">
        <v>583</v>
      </c>
      <c r="D338" s="6" t="s">
        <v>79</v>
      </c>
      <c r="E338" s="7">
        <v>1</v>
      </c>
      <c r="F338" s="7">
        <f>TRUNC(18.86136,2)</f>
        <v>18.86</v>
      </c>
      <c r="G338" s="7">
        <f>TRUNC(E338*F338,2)</f>
        <v>18.86</v>
      </c>
    </row>
    <row r="339" spans="1:7" ht="36">
      <c r="A339" s="109"/>
      <c r="B339" s="137" t="s">
        <v>82</v>
      </c>
      <c r="C339" s="9" t="s">
        <v>83</v>
      </c>
      <c r="D339" s="6" t="s">
        <v>8</v>
      </c>
      <c r="E339" s="7">
        <v>1.4419999999999999</v>
      </c>
      <c r="F339" s="7">
        <f>TRUNC(13.08,2)</f>
        <v>13.08</v>
      </c>
      <c r="G339" s="7">
        <f>TRUNC(E339*F339,2)</f>
        <v>18.86</v>
      </c>
    </row>
    <row r="340" spans="1:7">
      <c r="A340" s="109"/>
      <c r="B340" s="137"/>
      <c r="C340" s="9"/>
      <c r="D340" s="6"/>
      <c r="E340" s="7" t="s">
        <v>23</v>
      </c>
      <c r="F340" s="7"/>
      <c r="G340" s="7">
        <f>TRUNC(SUM(G339:G339),2)</f>
        <v>18.86</v>
      </c>
    </row>
    <row r="341" spans="1:7" ht="60">
      <c r="A341" s="109" t="str">
        <f>Orçamento!A68</f>
        <v>6.1.2</v>
      </c>
      <c r="B341" s="137" t="s">
        <v>88</v>
      </c>
      <c r="C341" s="9" t="s">
        <v>133</v>
      </c>
      <c r="D341" s="6" t="s">
        <v>85</v>
      </c>
      <c r="E341" s="7">
        <v>1</v>
      </c>
      <c r="F341" s="7">
        <f>TRUNC(32.33376,2)</f>
        <v>32.33</v>
      </c>
      <c r="G341" s="7">
        <f>TRUNC(E341*F341,2)</f>
        <v>32.33</v>
      </c>
    </row>
    <row r="342" spans="1:7" ht="36">
      <c r="A342" s="109"/>
      <c r="B342" s="137" t="s">
        <v>82</v>
      </c>
      <c r="C342" s="9" t="s">
        <v>83</v>
      </c>
      <c r="D342" s="6" t="s">
        <v>8</v>
      </c>
      <c r="E342" s="7">
        <v>2.472</v>
      </c>
      <c r="F342" s="7">
        <f>TRUNC(13.08,2)</f>
        <v>13.08</v>
      </c>
      <c r="G342" s="7">
        <f>TRUNC(E342*F342,2)</f>
        <v>32.33</v>
      </c>
    </row>
    <row r="343" spans="1:7">
      <c r="A343" s="109"/>
      <c r="B343" s="137"/>
      <c r="C343" s="9"/>
      <c r="D343" s="6"/>
      <c r="E343" s="7" t="s">
        <v>23</v>
      </c>
      <c r="F343" s="7"/>
      <c r="G343" s="7">
        <f>TRUNC(SUM(G342:G342),2)</f>
        <v>32.33</v>
      </c>
    </row>
    <row r="344" spans="1:7" ht="60">
      <c r="A344" s="109" t="str">
        <f>Orçamento!A69</f>
        <v>6.1.3</v>
      </c>
      <c r="B344" s="137" t="s">
        <v>134</v>
      </c>
      <c r="C344" s="9" t="s">
        <v>135</v>
      </c>
      <c r="D344" s="6" t="s">
        <v>85</v>
      </c>
      <c r="E344" s="7">
        <v>1</v>
      </c>
      <c r="F344" s="7">
        <f>TRUNC(43.7853,2)</f>
        <v>43.78</v>
      </c>
      <c r="G344" s="7">
        <f>TRUNC(E344*F344,2)</f>
        <v>43.78</v>
      </c>
    </row>
    <row r="345" spans="1:7" ht="36">
      <c r="A345" s="109"/>
      <c r="B345" s="137" t="s">
        <v>82</v>
      </c>
      <c r="C345" s="9" t="s">
        <v>83</v>
      </c>
      <c r="D345" s="6" t="s">
        <v>8</v>
      </c>
      <c r="E345" s="7">
        <v>3.3475000000000001</v>
      </c>
      <c r="F345" s="7">
        <f>TRUNC(13.08,2)</f>
        <v>13.08</v>
      </c>
      <c r="G345" s="7">
        <f>TRUNC(E345*F345,2)</f>
        <v>43.78</v>
      </c>
    </row>
    <row r="346" spans="1:7">
      <c r="A346" s="109"/>
      <c r="B346" s="137"/>
      <c r="C346" s="9"/>
      <c r="D346" s="6"/>
      <c r="E346" s="7" t="s">
        <v>23</v>
      </c>
      <c r="F346" s="7"/>
      <c r="G346" s="7">
        <f>TRUNC(SUM(G345:G345),2)</f>
        <v>43.78</v>
      </c>
    </row>
    <row r="347" spans="1:7" ht="36">
      <c r="A347" s="109" t="str">
        <f>Orçamento!A70</f>
        <v>6.1.4</v>
      </c>
      <c r="B347" s="137" t="s">
        <v>379</v>
      </c>
      <c r="C347" s="9" t="s">
        <v>380</v>
      </c>
      <c r="D347" s="6" t="s">
        <v>85</v>
      </c>
      <c r="E347" s="7">
        <v>1</v>
      </c>
      <c r="F347" s="7">
        <f>TRUNC(37.72272,2)</f>
        <v>37.72</v>
      </c>
      <c r="G347" s="7">
        <f>TRUNC(E347*F347,2)</f>
        <v>37.72</v>
      </c>
    </row>
    <row r="348" spans="1:7" ht="36">
      <c r="A348" s="109"/>
      <c r="B348" s="137" t="s">
        <v>82</v>
      </c>
      <c r="C348" s="9" t="s">
        <v>83</v>
      </c>
      <c r="D348" s="6" t="s">
        <v>8</v>
      </c>
      <c r="E348" s="7">
        <v>2.8839999999999999</v>
      </c>
      <c r="F348" s="7">
        <f>TRUNC(13.08,2)</f>
        <v>13.08</v>
      </c>
      <c r="G348" s="7">
        <f>TRUNC(E348*F348,2)</f>
        <v>37.72</v>
      </c>
    </row>
    <row r="349" spans="1:7">
      <c r="A349" s="109"/>
      <c r="B349" s="137"/>
      <c r="C349" s="9"/>
      <c r="D349" s="6"/>
      <c r="E349" s="7" t="s">
        <v>23</v>
      </c>
      <c r="F349" s="7"/>
      <c r="G349" s="7">
        <f>TRUNC(SUM(G348:G348),2)</f>
        <v>37.72</v>
      </c>
    </row>
    <row r="350" spans="1:7" ht="72">
      <c r="A350" s="109" t="str">
        <f>Orçamento!A71</f>
        <v>6.1.5</v>
      </c>
      <c r="B350" s="137" t="s">
        <v>377</v>
      </c>
      <c r="C350" s="9" t="s">
        <v>378</v>
      </c>
      <c r="D350" s="6" t="s">
        <v>85</v>
      </c>
      <c r="E350" s="7">
        <v>1</v>
      </c>
      <c r="F350" s="7">
        <f>TRUNC(205.6995423,2)</f>
        <v>205.69</v>
      </c>
      <c r="G350" s="7">
        <f>TRUNC(E350*F350,2)</f>
        <v>205.69</v>
      </c>
    </row>
    <row r="351" spans="1:7" ht="24">
      <c r="A351" s="109"/>
      <c r="B351" s="137" t="s">
        <v>584</v>
      </c>
      <c r="C351" s="9" t="s">
        <v>585</v>
      </c>
      <c r="D351" s="6" t="s">
        <v>89</v>
      </c>
      <c r="E351" s="7">
        <v>1.1997300000000002</v>
      </c>
      <c r="F351" s="7">
        <f>TRUNC(49.01,2)</f>
        <v>49.01</v>
      </c>
      <c r="G351" s="7">
        <f>TRUNC(E351*F351,2)</f>
        <v>58.79</v>
      </c>
    </row>
    <row r="352" spans="1:7" ht="24">
      <c r="A352" s="109"/>
      <c r="B352" s="137" t="s">
        <v>107</v>
      </c>
      <c r="C352" s="9" t="s">
        <v>211</v>
      </c>
      <c r="D352" s="6" t="s">
        <v>15</v>
      </c>
      <c r="E352" s="7">
        <v>320.25</v>
      </c>
      <c r="F352" s="7">
        <f>TRUNC(0.337,2)</f>
        <v>0.33</v>
      </c>
      <c r="G352" s="7">
        <f>TRUNC(E352*F352,2)</f>
        <v>105.68</v>
      </c>
    </row>
    <row r="353" spans="1:7" ht="24">
      <c r="A353" s="109"/>
      <c r="B353" s="137" t="s">
        <v>110</v>
      </c>
      <c r="C353" s="9" t="s">
        <v>111</v>
      </c>
      <c r="D353" s="6" t="s">
        <v>85</v>
      </c>
      <c r="E353" s="7">
        <v>0.68985000000000007</v>
      </c>
      <c r="F353" s="7">
        <f>TRUNC(56.5,2)</f>
        <v>56.5</v>
      </c>
      <c r="G353" s="7">
        <f>TRUNC(E353*F353,2)</f>
        <v>38.97</v>
      </c>
    </row>
    <row r="354" spans="1:7">
      <c r="A354" s="109"/>
      <c r="B354" s="137"/>
      <c r="C354" s="9"/>
      <c r="D354" s="6"/>
      <c r="E354" s="7" t="s">
        <v>23</v>
      </c>
      <c r="F354" s="7"/>
      <c r="G354" s="7">
        <f>TRUNC(SUM(G351:G353),2)</f>
        <v>203.44</v>
      </c>
    </row>
    <row r="355" spans="1:7" ht="72">
      <c r="A355" s="109" t="str">
        <f>Orçamento!A72</f>
        <v>6.1.6</v>
      </c>
      <c r="B355" s="137" t="s">
        <v>370</v>
      </c>
      <c r="C355" s="9" t="s">
        <v>371</v>
      </c>
      <c r="D355" s="6" t="s">
        <v>85</v>
      </c>
      <c r="E355" s="7">
        <v>1</v>
      </c>
      <c r="F355" s="7">
        <f>TRUNC(232.24972365,2)</f>
        <v>232.24</v>
      </c>
      <c r="G355" s="7">
        <f>TRUNC(E355*F355,2)</f>
        <v>232.24</v>
      </c>
    </row>
    <row r="356" spans="1:7" ht="24">
      <c r="A356" s="109"/>
      <c r="B356" s="137" t="s">
        <v>584</v>
      </c>
      <c r="C356" s="9" t="s">
        <v>585</v>
      </c>
      <c r="D356" s="6" t="s">
        <v>89</v>
      </c>
      <c r="E356" s="7">
        <v>1.2088650000000001</v>
      </c>
      <c r="F356" s="7">
        <f>TRUNC(49.01,2)</f>
        <v>49.01</v>
      </c>
      <c r="G356" s="7">
        <f>TRUNC(E356*F356,2)</f>
        <v>59.24</v>
      </c>
    </row>
    <row r="357" spans="1:7" ht="24">
      <c r="A357" s="109"/>
      <c r="B357" s="137" t="s">
        <v>107</v>
      </c>
      <c r="C357" s="9" t="s">
        <v>211</v>
      </c>
      <c r="D357" s="6" t="s">
        <v>15</v>
      </c>
      <c r="E357" s="7">
        <v>409.5</v>
      </c>
      <c r="F357" s="7">
        <f>TRUNC(0.337,2)</f>
        <v>0.33</v>
      </c>
      <c r="G357" s="7">
        <f>TRUNC(E357*F357,2)</f>
        <v>135.13</v>
      </c>
    </row>
    <row r="358" spans="1:7" ht="24">
      <c r="A358" s="109"/>
      <c r="B358" s="137" t="s">
        <v>110</v>
      </c>
      <c r="C358" s="9" t="s">
        <v>111</v>
      </c>
      <c r="D358" s="6" t="s">
        <v>85</v>
      </c>
      <c r="E358" s="7">
        <v>0.61949999999999994</v>
      </c>
      <c r="F358" s="7">
        <f>TRUNC(56.5,2)</f>
        <v>56.5</v>
      </c>
      <c r="G358" s="7">
        <f>TRUNC(E358*F358,2)</f>
        <v>35</v>
      </c>
    </row>
    <row r="359" spans="1:7">
      <c r="A359" s="109"/>
      <c r="B359" s="137"/>
      <c r="C359" s="9"/>
      <c r="D359" s="6"/>
      <c r="E359" s="7" t="s">
        <v>23</v>
      </c>
      <c r="F359" s="7"/>
      <c r="G359" s="7">
        <f>TRUNC(SUM(G356:G358),2)</f>
        <v>229.37</v>
      </c>
    </row>
    <row r="360" spans="1:7" ht="84">
      <c r="A360" s="109" t="str">
        <f>Orçamento!A73</f>
        <v>6.1.7</v>
      </c>
      <c r="B360" s="137" t="s">
        <v>368</v>
      </c>
      <c r="C360" s="9" t="s">
        <v>369</v>
      </c>
      <c r="D360" s="6" t="s">
        <v>85</v>
      </c>
      <c r="E360" s="7">
        <v>1</v>
      </c>
      <c r="F360" s="7">
        <f>TRUNC(50.5005,2)</f>
        <v>50.5</v>
      </c>
      <c r="G360" s="7">
        <f>TRUNC(E360*F360,2)</f>
        <v>50.5</v>
      </c>
    </row>
    <row r="361" spans="1:7" ht="36">
      <c r="A361" s="109"/>
      <c r="B361" s="137" t="s">
        <v>82</v>
      </c>
      <c r="C361" s="9" t="s">
        <v>83</v>
      </c>
      <c r="D361" s="6" t="s">
        <v>8</v>
      </c>
      <c r="E361" s="7">
        <v>3.5019999999999998</v>
      </c>
      <c r="F361" s="7">
        <f>TRUNC(13.08,2)</f>
        <v>13.08</v>
      </c>
      <c r="G361" s="7">
        <f>TRUNC(E361*F361,2)</f>
        <v>45.8</v>
      </c>
    </row>
    <row r="362" spans="1:7" ht="24">
      <c r="A362" s="109"/>
      <c r="B362" s="137" t="s">
        <v>586</v>
      </c>
      <c r="C362" s="9" t="s">
        <v>587</v>
      </c>
      <c r="D362" s="6" t="s">
        <v>8</v>
      </c>
      <c r="E362" s="7">
        <v>0.3</v>
      </c>
      <c r="F362" s="7">
        <f>TRUNC(15.6478,2)</f>
        <v>15.64</v>
      </c>
      <c r="G362" s="7">
        <f>TRUNC(E362*F362,2)</f>
        <v>4.6900000000000004</v>
      </c>
    </row>
    <row r="363" spans="1:7">
      <c r="A363" s="109"/>
      <c r="B363" s="137"/>
      <c r="C363" s="9"/>
      <c r="D363" s="6"/>
      <c r="E363" s="7" t="s">
        <v>23</v>
      </c>
      <c r="F363" s="7"/>
      <c r="G363" s="7">
        <f>TRUNC(SUM(G361:G362),2)</f>
        <v>50.49</v>
      </c>
    </row>
    <row r="364" spans="1:7" ht="84">
      <c r="A364" s="109" t="str">
        <f>Orçamento!A74</f>
        <v>6.1.8</v>
      </c>
      <c r="B364" s="137" t="s">
        <v>372</v>
      </c>
      <c r="C364" s="9" t="s">
        <v>373</v>
      </c>
      <c r="D364" s="6" t="s">
        <v>85</v>
      </c>
      <c r="E364" s="7">
        <v>1</v>
      </c>
      <c r="F364" s="7">
        <f>TRUNC(58.997535,2)</f>
        <v>58.99</v>
      </c>
      <c r="G364" s="7">
        <f t="shared" ref="G364:G369" si="13">TRUNC(E364*F364,2)</f>
        <v>58.99</v>
      </c>
    </row>
    <row r="365" spans="1:7" ht="36">
      <c r="A365" s="109"/>
      <c r="B365" s="137" t="s">
        <v>82</v>
      </c>
      <c r="C365" s="9" t="s">
        <v>83</v>
      </c>
      <c r="D365" s="6" t="s">
        <v>8</v>
      </c>
      <c r="E365" s="7">
        <v>3.1414999999999997</v>
      </c>
      <c r="F365" s="7">
        <f>TRUNC(13.08,2)</f>
        <v>13.08</v>
      </c>
      <c r="G365" s="7">
        <f t="shared" si="13"/>
        <v>41.09</v>
      </c>
    </row>
    <row r="366" spans="1:7" ht="24">
      <c r="A366" s="109"/>
      <c r="B366" s="137" t="s">
        <v>86</v>
      </c>
      <c r="C366" s="9" t="s">
        <v>87</v>
      </c>
      <c r="D366" s="6" t="s">
        <v>8</v>
      </c>
      <c r="E366" s="7">
        <v>0.54590000000000005</v>
      </c>
      <c r="F366" s="7">
        <f>TRUNC(18.05,2)</f>
        <v>18.05</v>
      </c>
      <c r="G366" s="7">
        <f t="shared" si="13"/>
        <v>9.85</v>
      </c>
    </row>
    <row r="367" spans="1:7" ht="36">
      <c r="A367" s="109"/>
      <c r="B367" s="137" t="s">
        <v>112</v>
      </c>
      <c r="C367" s="9" t="s">
        <v>113</v>
      </c>
      <c r="D367" s="6" t="s">
        <v>8</v>
      </c>
      <c r="E367" s="7">
        <v>0.41200000000000003</v>
      </c>
      <c r="F367" s="7">
        <f>TRUNC(18.05,2)</f>
        <v>18.05</v>
      </c>
      <c r="G367" s="7">
        <f t="shared" si="13"/>
        <v>7.43</v>
      </c>
    </row>
    <row r="368" spans="1:7" ht="24">
      <c r="A368" s="109"/>
      <c r="B368" s="137" t="s">
        <v>230</v>
      </c>
      <c r="C368" s="9" t="s">
        <v>231</v>
      </c>
      <c r="D368" s="6" t="s">
        <v>8</v>
      </c>
      <c r="E368" s="7">
        <v>0.6</v>
      </c>
      <c r="F368" s="7">
        <f>TRUNC(0.2441,2)</f>
        <v>0.24</v>
      </c>
      <c r="G368" s="7">
        <f t="shared" si="13"/>
        <v>0.14000000000000001</v>
      </c>
    </row>
    <row r="369" spans="1:7" ht="24">
      <c r="A369" s="109"/>
      <c r="B369" s="137" t="s">
        <v>232</v>
      </c>
      <c r="C369" s="9" t="s">
        <v>233</v>
      </c>
      <c r="D369" s="6" t="s">
        <v>8</v>
      </c>
      <c r="E369" s="7">
        <v>0.4</v>
      </c>
      <c r="F369" s="7">
        <f>TRUNC(1.1754,2)</f>
        <v>1.17</v>
      </c>
      <c r="G369" s="7">
        <f t="shared" si="13"/>
        <v>0.46</v>
      </c>
    </row>
    <row r="370" spans="1:7">
      <c r="A370" s="109"/>
      <c r="B370" s="137"/>
      <c r="C370" s="9"/>
      <c r="D370" s="6"/>
      <c r="E370" s="7" t="s">
        <v>23</v>
      </c>
      <c r="F370" s="7"/>
      <c r="G370" s="7">
        <f>TRUNC(SUM(G365:G369),2)</f>
        <v>58.97</v>
      </c>
    </row>
    <row r="371" spans="1:7" ht="84">
      <c r="A371" s="109" t="str">
        <f>Orçamento!A75</f>
        <v>6.1.9</v>
      </c>
      <c r="B371" s="137" t="s">
        <v>382</v>
      </c>
      <c r="C371" s="9" t="s">
        <v>383</v>
      </c>
      <c r="D371" s="6" t="s">
        <v>15</v>
      </c>
      <c r="E371" s="7">
        <v>1</v>
      </c>
      <c r="F371" s="7">
        <f>TRUNC(3.83157,2)</f>
        <v>3.83</v>
      </c>
      <c r="G371" s="7">
        <f>TRUNC(E371*F371,2)</f>
        <v>3.83</v>
      </c>
    </row>
    <row r="372" spans="1:7" ht="24">
      <c r="A372" s="109"/>
      <c r="B372" s="137" t="s">
        <v>588</v>
      </c>
      <c r="C372" s="9" t="s">
        <v>589</v>
      </c>
      <c r="D372" s="6" t="s">
        <v>15</v>
      </c>
      <c r="E372" s="7">
        <v>1.1000000000000001</v>
      </c>
      <c r="F372" s="7">
        <f>TRUNC(3.3087,2)</f>
        <v>3.3</v>
      </c>
      <c r="G372" s="7">
        <f>TRUNC(E372*F372,2)</f>
        <v>3.63</v>
      </c>
    </row>
    <row r="373" spans="1:7">
      <c r="A373" s="109"/>
      <c r="B373" s="137" t="s">
        <v>493</v>
      </c>
      <c r="C373" s="9" t="s">
        <v>494</v>
      </c>
      <c r="D373" s="6" t="s">
        <v>15</v>
      </c>
      <c r="E373" s="7">
        <v>0.03</v>
      </c>
      <c r="F373" s="7">
        <f>TRUNC(6.4,2)</f>
        <v>6.4</v>
      </c>
      <c r="G373" s="7">
        <f>TRUNC(E373*F373,2)</f>
        <v>0.19</v>
      </c>
    </row>
    <row r="374" spans="1:7">
      <c r="A374" s="109"/>
      <c r="B374" s="137"/>
      <c r="C374" s="9"/>
      <c r="D374" s="6"/>
      <c r="E374" s="7" t="s">
        <v>23</v>
      </c>
      <c r="F374" s="7"/>
      <c r="G374" s="7">
        <f>TRUNC(SUM(G372:G373),2)</f>
        <v>3.82</v>
      </c>
    </row>
    <row r="375" spans="1:7" ht="60">
      <c r="A375" s="109" t="str">
        <f>Orçamento!A76</f>
        <v>6.1.10</v>
      </c>
      <c r="B375" s="137" t="s">
        <v>387</v>
      </c>
      <c r="C375" s="9" t="s">
        <v>386</v>
      </c>
      <c r="D375" s="6" t="s">
        <v>15</v>
      </c>
      <c r="E375" s="7">
        <v>1</v>
      </c>
      <c r="F375" s="7">
        <f>TRUNC(3.847668,2)</f>
        <v>3.84</v>
      </c>
      <c r="G375" s="7">
        <f>TRUNC(E375*F375,2)</f>
        <v>3.84</v>
      </c>
    </row>
    <row r="376" spans="1:7" ht="36">
      <c r="A376" s="109"/>
      <c r="B376" s="137" t="s">
        <v>82</v>
      </c>
      <c r="C376" s="9" t="s">
        <v>83</v>
      </c>
      <c r="D376" s="6" t="s">
        <v>8</v>
      </c>
      <c r="E376" s="7">
        <v>0.1236</v>
      </c>
      <c r="F376" s="7">
        <f>TRUNC(13.08,2)</f>
        <v>13.08</v>
      </c>
      <c r="G376" s="7">
        <f>TRUNC(E376*F376,2)</f>
        <v>1.61</v>
      </c>
    </row>
    <row r="377" spans="1:7" ht="36">
      <c r="A377" s="109"/>
      <c r="B377" s="137" t="s">
        <v>228</v>
      </c>
      <c r="C377" s="9" t="s">
        <v>229</v>
      </c>
      <c r="D377" s="6" t="s">
        <v>8</v>
      </c>
      <c r="E377" s="7">
        <v>0.1236</v>
      </c>
      <c r="F377" s="7">
        <f>TRUNC(18.05,2)</f>
        <v>18.05</v>
      </c>
      <c r="G377" s="7">
        <f>TRUNC(E377*F377,2)</f>
        <v>2.23</v>
      </c>
    </row>
    <row r="378" spans="1:7">
      <c r="A378" s="109"/>
      <c r="B378" s="137"/>
      <c r="C378" s="9"/>
      <c r="D378" s="6"/>
      <c r="E378" s="7" t="s">
        <v>23</v>
      </c>
      <c r="F378" s="7"/>
      <c r="G378" s="7">
        <f>TRUNC(SUM(G376:G377),2)</f>
        <v>3.84</v>
      </c>
    </row>
    <row r="379" spans="1:7" ht="84">
      <c r="A379" s="109" t="str">
        <f>Orçamento!A77</f>
        <v>6.1.11</v>
      </c>
      <c r="B379" s="137" t="s">
        <v>384</v>
      </c>
      <c r="C379" s="9" t="s">
        <v>385</v>
      </c>
      <c r="D379" s="6" t="s">
        <v>15</v>
      </c>
      <c r="E379" s="7">
        <v>1</v>
      </c>
      <c r="F379" s="7">
        <f>TRUNC(3.871872,2)</f>
        <v>3.87</v>
      </c>
      <c r="G379" s="7">
        <f>TRUNC(E379*F379,2)</f>
        <v>3.87</v>
      </c>
    </row>
    <row r="380" spans="1:7" ht="24">
      <c r="A380" s="109"/>
      <c r="B380" s="137" t="s">
        <v>590</v>
      </c>
      <c r="C380" s="9" t="s">
        <v>591</v>
      </c>
      <c r="D380" s="6" t="s">
        <v>15</v>
      </c>
      <c r="E380" s="7">
        <v>0.37</v>
      </c>
      <c r="F380" s="7">
        <f>TRUNC(3.075,2)</f>
        <v>3.07</v>
      </c>
      <c r="G380" s="7">
        <f>TRUNC(E380*F380,2)</f>
        <v>1.1299999999999999</v>
      </c>
    </row>
    <row r="381" spans="1:7" ht="24">
      <c r="A381" s="109"/>
      <c r="B381" s="137" t="s">
        <v>592</v>
      </c>
      <c r="C381" s="9" t="s">
        <v>593</v>
      </c>
      <c r="D381" s="6" t="s">
        <v>15</v>
      </c>
      <c r="E381" s="7">
        <v>0.37</v>
      </c>
      <c r="F381" s="7">
        <f>TRUNC(3.4466,2)</f>
        <v>3.44</v>
      </c>
      <c r="G381" s="7">
        <f>TRUNC(E381*F381,2)</f>
        <v>1.27</v>
      </c>
    </row>
    <row r="382" spans="1:7" ht="24">
      <c r="A382" s="109"/>
      <c r="B382" s="137" t="s">
        <v>594</v>
      </c>
      <c r="C382" s="9" t="s">
        <v>595</v>
      </c>
      <c r="D382" s="6" t="s">
        <v>15</v>
      </c>
      <c r="E382" s="7">
        <v>0.37</v>
      </c>
      <c r="F382" s="7">
        <f>TRUNC(3.424,2)</f>
        <v>3.42</v>
      </c>
      <c r="G382" s="7">
        <f>TRUNC(E382*F382,2)</f>
        <v>1.26</v>
      </c>
    </row>
    <row r="383" spans="1:7">
      <c r="A383" s="109"/>
      <c r="B383" s="137" t="s">
        <v>493</v>
      </c>
      <c r="C383" s="9" t="s">
        <v>494</v>
      </c>
      <c r="D383" s="6" t="s">
        <v>15</v>
      </c>
      <c r="E383" s="7">
        <v>0.03</v>
      </c>
      <c r="F383" s="7">
        <f>TRUNC(6.4,2)</f>
        <v>6.4</v>
      </c>
      <c r="G383" s="7">
        <f>TRUNC(E383*F383,2)</f>
        <v>0.19</v>
      </c>
    </row>
    <row r="384" spans="1:7">
      <c r="A384" s="109"/>
      <c r="B384" s="137"/>
      <c r="C384" s="9"/>
      <c r="D384" s="6"/>
      <c r="E384" s="7" t="s">
        <v>23</v>
      </c>
      <c r="F384" s="7"/>
      <c r="G384" s="7">
        <f>TRUNC(SUM(G380:G383),2)</f>
        <v>3.85</v>
      </c>
    </row>
    <row r="385" spans="1:7" ht="60">
      <c r="A385" s="109" t="str">
        <f>Orçamento!A78</f>
        <v>6.1.12</v>
      </c>
      <c r="B385" s="137" t="s">
        <v>388</v>
      </c>
      <c r="C385" s="9" t="s">
        <v>389</v>
      </c>
      <c r="D385" s="6" t="s">
        <v>15</v>
      </c>
      <c r="E385" s="7">
        <v>1</v>
      </c>
      <c r="F385" s="7">
        <f>TRUNC(3.3667095,2)</f>
        <v>3.36</v>
      </c>
      <c r="G385" s="7">
        <f>TRUNC(E385*F385,2)</f>
        <v>3.36</v>
      </c>
    </row>
    <row r="386" spans="1:7" ht="36">
      <c r="A386" s="109"/>
      <c r="B386" s="137" t="s">
        <v>82</v>
      </c>
      <c r="C386" s="9" t="s">
        <v>83</v>
      </c>
      <c r="D386" s="6" t="s">
        <v>8</v>
      </c>
      <c r="E386" s="7">
        <v>0.10815</v>
      </c>
      <c r="F386" s="7">
        <f>TRUNC(13.08,2)</f>
        <v>13.08</v>
      </c>
      <c r="G386" s="7">
        <f>TRUNC(E386*F386,2)</f>
        <v>1.41</v>
      </c>
    </row>
    <row r="387" spans="1:7" ht="36">
      <c r="A387" s="109"/>
      <c r="B387" s="137" t="s">
        <v>228</v>
      </c>
      <c r="C387" s="9" t="s">
        <v>229</v>
      </c>
      <c r="D387" s="6" t="s">
        <v>8</v>
      </c>
      <c r="E387" s="7">
        <v>0.10815</v>
      </c>
      <c r="F387" s="7">
        <f>TRUNC(18.05,2)</f>
        <v>18.05</v>
      </c>
      <c r="G387" s="7">
        <f>TRUNC(E387*F387,2)</f>
        <v>1.95</v>
      </c>
    </row>
    <row r="388" spans="1:7">
      <c r="A388" s="109"/>
      <c r="B388" s="137"/>
      <c r="C388" s="9"/>
      <c r="D388" s="6"/>
      <c r="E388" s="7" t="s">
        <v>23</v>
      </c>
      <c r="F388" s="7"/>
      <c r="G388" s="7">
        <f>TRUNC(SUM(G386:G387),2)</f>
        <v>3.36</v>
      </c>
    </row>
    <row r="389" spans="1:7" ht="48">
      <c r="A389" s="8" t="str">
        <f>Orçamento!A79</f>
        <v>6.1.13</v>
      </c>
      <c r="B389" s="137" t="s">
        <v>405</v>
      </c>
      <c r="C389" s="9" t="s">
        <v>426</v>
      </c>
      <c r="D389" s="6" t="s">
        <v>14</v>
      </c>
      <c r="E389" s="7"/>
      <c r="F389" s="7">
        <f>G410</f>
        <v>9.9700000000000006</v>
      </c>
      <c r="G389" s="7"/>
    </row>
    <row r="390" spans="1:7">
      <c r="A390" s="8"/>
      <c r="B390" s="91" t="s">
        <v>166</v>
      </c>
      <c r="C390" s="22" t="s">
        <v>205</v>
      </c>
      <c r="D390" s="6"/>
      <c r="E390" s="7"/>
      <c r="F390" s="7"/>
      <c r="G390" s="7"/>
    </row>
    <row r="391" spans="1:7" ht="108">
      <c r="A391" s="8"/>
      <c r="B391" s="137" t="s">
        <v>409</v>
      </c>
      <c r="C391" s="9" t="s">
        <v>394</v>
      </c>
      <c r="D391" s="6" t="s">
        <v>15</v>
      </c>
      <c r="E391" s="7">
        <v>1</v>
      </c>
      <c r="F391" s="7"/>
      <c r="G391" s="7"/>
    </row>
    <row r="392" spans="1:7" ht="24">
      <c r="A392" s="8"/>
      <c r="B392" s="137" t="s">
        <v>399</v>
      </c>
      <c r="C392" s="9" t="s">
        <v>400</v>
      </c>
      <c r="D392" s="6" t="s">
        <v>15</v>
      </c>
      <c r="E392" s="7">
        <v>1.1000000000000001</v>
      </c>
      <c r="F392" s="7">
        <v>4.75</v>
      </c>
      <c r="G392" s="7"/>
    </row>
    <row r="393" spans="1:7" ht="24">
      <c r="A393" s="8"/>
      <c r="B393" s="137" t="s">
        <v>424</v>
      </c>
      <c r="C393" s="9" t="s">
        <v>425</v>
      </c>
      <c r="D393" s="6" t="s">
        <v>15</v>
      </c>
      <c r="E393" s="7">
        <v>1.1000000000000001</v>
      </c>
      <c r="F393" s="7">
        <v>4.6223000000000001</v>
      </c>
      <c r="G393" s="7">
        <f>TRUNC(E393*F393,2)</f>
        <v>5.08</v>
      </c>
    </row>
    <row r="394" spans="1:7" ht="36">
      <c r="A394" s="8"/>
      <c r="B394" s="137" t="s">
        <v>82</v>
      </c>
      <c r="C394" s="9" t="s">
        <v>83</v>
      </c>
      <c r="D394" s="6" t="s">
        <v>8</v>
      </c>
      <c r="E394" s="7">
        <v>0.82400000000000007</v>
      </c>
      <c r="F394" s="7">
        <v>13.08</v>
      </c>
      <c r="G394" s="7">
        <f>TRUNC(E394*F394,2)</f>
        <v>10.77</v>
      </c>
    </row>
    <row r="395" spans="1:7" ht="48">
      <c r="A395" s="8"/>
      <c r="B395" s="137" t="s">
        <v>410</v>
      </c>
      <c r="C395" s="9" t="s">
        <v>411</v>
      </c>
      <c r="D395" s="6" t="s">
        <v>8</v>
      </c>
      <c r="E395" s="7">
        <v>4.1200000000000001E-2</v>
      </c>
      <c r="F395" s="7"/>
      <c r="G395" s="7"/>
    </row>
    <row r="396" spans="1:7" ht="24">
      <c r="A396" s="8"/>
      <c r="B396" s="137" t="s">
        <v>412</v>
      </c>
      <c r="C396" s="9" t="s">
        <v>413</v>
      </c>
      <c r="D396" s="6" t="s">
        <v>8</v>
      </c>
      <c r="E396" s="7">
        <v>0.20600000000000002</v>
      </c>
      <c r="F396" s="7"/>
      <c r="G396" s="7"/>
    </row>
    <row r="397" spans="1:7" ht="36">
      <c r="A397" s="8"/>
      <c r="B397" s="137" t="s">
        <v>228</v>
      </c>
      <c r="C397" s="9" t="s">
        <v>229</v>
      </c>
      <c r="D397" s="6" t="s">
        <v>8</v>
      </c>
      <c r="E397" s="7">
        <v>0.41200000000000003</v>
      </c>
      <c r="F397" s="7"/>
      <c r="G397" s="7"/>
    </row>
    <row r="398" spans="1:7" ht="48">
      <c r="A398" s="8"/>
      <c r="B398" s="137" t="s">
        <v>401</v>
      </c>
      <c r="C398" s="9" t="s">
        <v>402</v>
      </c>
      <c r="D398" s="6" t="s">
        <v>14</v>
      </c>
      <c r="E398" s="7">
        <v>4.9200000000000003E-5</v>
      </c>
      <c r="F398" s="7"/>
      <c r="G398" s="7"/>
    </row>
    <row r="399" spans="1:7" ht="36">
      <c r="A399" s="8"/>
      <c r="B399" s="137" t="s">
        <v>403</v>
      </c>
      <c r="C399" s="9" t="s">
        <v>404</v>
      </c>
      <c r="D399" s="6" t="s">
        <v>14</v>
      </c>
      <c r="E399" s="7">
        <v>2.5000000000000001E-3</v>
      </c>
      <c r="F399" s="7"/>
      <c r="G399" s="7"/>
    </row>
    <row r="400" spans="1:7" ht="24">
      <c r="A400" s="8"/>
      <c r="B400" s="137" t="s">
        <v>414</v>
      </c>
      <c r="C400" s="9" t="s">
        <v>415</v>
      </c>
      <c r="D400" s="6" t="s">
        <v>8</v>
      </c>
      <c r="E400" s="7">
        <v>0.01</v>
      </c>
      <c r="F400" s="7"/>
      <c r="G400" s="7"/>
    </row>
    <row r="401" spans="1:7" ht="24">
      <c r="A401" s="8"/>
      <c r="B401" s="137" t="s">
        <v>416</v>
      </c>
      <c r="C401" s="9" t="s">
        <v>417</v>
      </c>
      <c r="D401" s="6" t="s">
        <v>8</v>
      </c>
      <c r="E401" s="7">
        <v>1.7999999999999999E-2</v>
      </c>
      <c r="F401" s="7"/>
      <c r="G401" s="7"/>
    </row>
    <row r="402" spans="1:7" ht="24">
      <c r="A402" s="8"/>
      <c r="B402" s="137" t="s">
        <v>418</v>
      </c>
      <c r="C402" s="9" t="s">
        <v>419</v>
      </c>
      <c r="D402" s="6" t="s">
        <v>8</v>
      </c>
      <c r="E402" s="7">
        <v>0.03</v>
      </c>
      <c r="F402" s="7"/>
      <c r="G402" s="7"/>
    </row>
    <row r="403" spans="1:7" ht="36">
      <c r="A403" s="8"/>
      <c r="B403" s="137" t="s">
        <v>420</v>
      </c>
      <c r="C403" s="9" t="s">
        <v>421</v>
      </c>
      <c r="D403" s="6" t="s">
        <v>8</v>
      </c>
      <c r="E403" s="7">
        <v>0.01</v>
      </c>
      <c r="F403" s="7"/>
      <c r="G403" s="7"/>
    </row>
    <row r="404" spans="1:7" ht="36">
      <c r="A404" s="8"/>
      <c r="B404" s="137" t="s">
        <v>422</v>
      </c>
      <c r="C404" s="9" t="s">
        <v>423</v>
      </c>
      <c r="D404" s="6" t="s">
        <v>8</v>
      </c>
      <c r="E404" s="7">
        <v>0.03</v>
      </c>
      <c r="F404" s="7"/>
      <c r="G404" s="7"/>
    </row>
    <row r="405" spans="1:7">
      <c r="A405" s="8"/>
      <c r="B405" s="137"/>
      <c r="C405" s="9"/>
      <c r="D405" s="6"/>
      <c r="E405" s="7" t="s">
        <v>406</v>
      </c>
      <c r="F405" s="7"/>
      <c r="G405" s="7">
        <f>TRUNC(SUM(G392:G404),2)</f>
        <v>15.85</v>
      </c>
    </row>
    <row r="406" spans="1:7">
      <c r="A406" s="8"/>
      <c r="B406" s="137"/>
      <c r="C406" s="9"/>
      <c r="D406" s="6"/>
      <c r="E406" s="7" t="s">
        <v>407</v>
      </c>
      <c r="F406" s="7"/>
      <c r="G406" s="7">
        <v>0.6</v>
      </c>
    </row>
    <row r="407" spans="1:7">
      <c r="A407" s="8"/>
      <c r="B407" s="137"/>
      <c r="C407" s="9"/>
      <c r="D407" s="6"/>
      <c r="E407" s="7" t="s">
        <v>406</v>
      </c>
      <c r="F407" s="7"/>
      <c r="G407" s="7">
        <f>G405*G406</f>
        <v>9.51</v>
      </c>
    </row>
    <row r="408" spans="1:7" ht="24">
      <c r="A408" s="8"/>
      <c r="B408" s="137" t="s">
        <v>395</v>
      </c>
      <c r="C408" s="9" t="s">
        <v>396</v>
      </c>
      <c r="D408" s="6" t="s">
        <v>14</v>
      </c>
      <c r="E408" s="7">
        <v>1</v>
      </c>
      <c r="F408" s="7">
        <v>0.23</v>
      </c>
      <c r="G408" s="7">
        <f t="shared" ref="G408:G409" si="14">TRUNC(E408*F408,2)</f>
        <v>0.23</v>
      </c>
    </row>
    <row r="409" spans="1:7" ht="24">
      <c r="A409" s="8"/>
      <c r="B409" s="137" t="s">
        <v>397</v>
      </c>
      <c r="C409" s="9" t="s">
        <v>398</v>
      </c>
      <c r="D409" s="6" t="s">
        <v>14</v>
      </c>
      <c r="E409" s="7">
        <v>1</v>
      </c>
      <c r="F409" s="7">
        <v>0.23</v>
      </c>
      <c r="G409" s="7">
        <f t="shared" si="14"/>
        <v>0.23</v>
      </c>
    </row>
    <row r="410" spans="1:7">
      <c r="A410" s="8"/>
      <c r="B410" s="137"/>
      <c r="C410" s="9"/>
      <c r="D410" s="6"/>
      <c r="E410" s="7" t="s">
        <v>23</v>
      </c>
      <c r="F410" s="7"/>
      <c r="G410" s="7">
        <f>SUM(G407:G409)</f>
        <v>9.9700000000000006</v>
      </c>
    </row>
    <row r="411" spans="1:7" ht="96">
      <c r="A411" s="8" t="str">
        <f>Orçamento!A80</f>
        <v>6.2</v>
      </c>
      <c r="B411" s="137" t="s">
        <v>443</v>
      </c>
      <c r="C411" s="9" t="s">
        <v>453</v>
      </c>
      <c r="D411" s="6" t="s">
        <v>287</v>
      </c>
      <c r="E411" s="7"/>
      <c r="F411" s="7">
        <f>G431</f>
        <v>6755.47</v>
      </c>
      <c r="G411" s="7"/>
    </row>
    <row r="412" spans="1:7">
      <c r="A412" s="8"/>
      <c r="B412" s="91" t="s">
        <v>166</v>
      </c>
      <c r="C412" s="22" t="s">
        <v>205</v>
      </c>
      <c r="D412" s="6"/>
      <c r="E412" s="7"/>
      <c r="F412" s="7"/>
      <c r="G412" s="7"/>
    </row>
    <row r="413" spans="1:7" ht="36">
      <c r="A413" s="8"/>
      <c r="B413" s="137" t="s">
        <v>408</v>
      </c>
      <c r="C413" s="9" t="s">
        <v>596</v>
      </c>
      <c r="D413" s="6" t="s">
        <v>15</v>
      </c>
      <c r="E413" s="7">
        <f>18.62+3.58</f>
        <v>22.200000000000003</v>
      </c>
      <c r="F413" s="7">
        <f>TRUNC(4.6432,2)</f>
        <v>4.6399999999999997</v>
      </c>
      <c r="G413" s="7">
        <f t="shared" ref="G413:G430" si="15">TRUNC(E413*F413,2)</f>
        <v>103</v>
      </c>
    </row>
    <row r="414" spans="1:7" ht="48">
      <c r="A414" s="8"/>
      <c r="B414" s="137" t="s">
        <v>428</v>
      </c>
      <c r="C414" s="9" t="s">
        <v>597</v>
      </c>
      <c r="D414" s="6" t="s">
        <v>14</v>
      </c>
      <c r="E414" s="7">
        <f>2.5/3*4</f>
        <v>3.3333333333333335</v>
      </c>
      <c r="F414" s="7">
        <v>603.87</v>
      </c>
      <c r="G414" s="7">
        <f t="shared" si="15"/>
        <v>2012.9</v>
      </c>
    </row>
    <row r="415" spans="1:7" ht="48">
      <c r="A415" s="8"/>
      <c r="B415" s="137" t="s">
        <v>427</v>
      </c>
      <c r="C415" s="9" t="s">
        <v>598</v>
      </c>
      <c r="D415" s="6" t="s">
        <v>14</v>
      </c>
      <c r="E415" s="7">
        <f>3.3/3*2</f>
        <v>2.1999999999999997</v>
      </c>
      <c r="F415" s="7">
        <v>385.19</v>
      </c>
      <c r="G415" s="7">
        <f t="shared" si="15"/>
        <v>847.41</v>
      </c>
    </row>
    <row r="416" spans="1:7" ht="24">
      <c r="A416" s="8"/>
      <c r="B416" s="137" t="s">
        <v>430</v>
      </c>
      <c r="C416" s="9" t="s">
        <v>599</v>
      </c>
      <c r="D416" s="6" t="s">
        <v>431</v>
      </c>
      <c r="E416" s="7">
        <f>(2.7*2+3)/3</f>
        <v>2.8000000000000003</v>
      </c>
      <c r="F416" s="7">
        <f>1550.3/20</f>
        <v>77.515000000000001</v>
      </c>
      <c r="G416" s="7">
        <f t="shared" si="15"/>
        <v>217.04</v>
      </c>
    </row>
    <row r="417" spans="1:7" ht="24">
      <c r="A417" s="8"/>
      <c r="B417" s="137" t="s">
        <v>430</v>
      </c>
      <c r="C417" s="9" t="s">
        <v>600</v>
      </c>
      <c r="D417" s="6" t="s">
        <v>431</v>
      </c>
      <c r="E417" s="7">
        <f>(0.9*2+0.33)/6</f>
        <v>0.35499999999999998</v>
      </c>
      <c r="F417" s="7">
        <f>297.08</f>
        <v>297.08</v>
      </c>
      <c r="G417" s="7">
        <f t="shared" si="15"/>
        <v>105.46</v>
      </c>
    </row>
    <row r="418" spans="1:7" ht="24">
      <c r="A418" s="8"/>
      <c r="B418" s="137" t="s">
        <v>430</v>
      </c>
      <c r="C418" s="9" t="s">
        <v>601</v>
      </c>
      <c r="D418" s="6" t="s">
        <v>431</v>
      </c>
      <c r="E418" s="7">
        <f>(0.9+2.08+2)/6</f>
        <v>0.83000000000000007</v>
      </c>
      <c r="F418" s="7">
        <f>100.8</f>
        <v>100.8</v>
      </c>
      <c r="G418" s="7">
        <f t="shared" si="15"/>
        <v>83.66</v>
      </c>
    </row>
    <row r="419" spans="1:7" ht="24">
      <c r="A419" s="8"/>
      <c r="B419" s="137" t="s">
        <v>441</v>
      </c>
      <c r="C419" s="9" t="s">
        <v>602</v>
      </c>
      <c r="D419" s="6" t="s">
        <v>15</v>
      </c>
      <c r="E419" s="7">
        <f>0.87*(3+1.4)*2</f>
        <v>7.6560000000000006</v>
      </c>
      <c r="F419" s="7">
        <v>4.8505000000000003</v>
      </c>
      <c r="G419" s="7">
        <f t="shared" si="15"/>
        <v>37.130000000000003</v>
      </c>
    </row>
    <row r="420" spans="1:7" ht="36">
      <c r="A420" s="8"/>
      <c r="B420" s="137" t="s">
        <v>608</v>
      </c>
      <c r="C420" s="9" t="s">
        <v>432</v>
      </c>
      <c r="D420" s="6" t="s">
        <v>78</v>
      </c>
      <c r="E420" s="7">
        <f>(0.9-0.012)*(2.04-0.12-0.06)*2</f>
        <v>3.3033599999999996</v>
      </c>
      <c r="F420" s="7">
        <f>TRUNC(278.885,2)</f>
        <v>278.88</v>
      </c>
      <c r="G420" s="7">
        <f t="shared" si="15"/>
        <v>921.24</v>
      </c>
    </row>
    <row r="421" spans="1:7">
      <c r="A421" s="8"/>
      <c r="B421" s="137"/>
      <c r="C421" s="9"/>
      <c r="D421" s="6"/>
      <c r="E421" s="7"/>
      <c r="F421" s="7"/>
      <c r="G421" s="7"/>
    </row>
    <row r="422" spans="1:7" ht="36">
      <c r="A422" s="8"/>
      <c r="B422" s="137" t="s">
        <v>609</v>
      </c>
      <c r="C422" s="9" t="s">
        <v>433</v>
      </c>
      <c r="D422" s="6" t="s">
        <v>79</v>
      </c>
      <c r="E422" s="7">
        <f>PI()*2*0.075*4+PI()*2*0.05*4+(0.15+0.05*2)*2+0.15*4*2+0.06*4*4+(0.15+0.05*2)*4+0.1*10</f>
        <v>7.8015926535897933</v>
      </c>
      <c r="F422" s="7">
        <f>TRUNC(60.4824,2)</f>
        <v>60.48</v>
      </c>
      <c r="G422" s="7">
        <f t="shared" si="15"/>
        <v>471.84</v>
      </c>
    </row>
    <row r="423" spans="1:7" ht="36">
      <c r="A423" s="8"/>
      <c r="B423" s="137" t="s">
        <v>610</v>
      </c>
      <c r="C423" s="9" t="s">
        <v>438</v>
      </c>
      <c r="D423" s="6" t="s">
        <v>78</v>
      </c>
      <c r="E423" s="7">
        <f>PI()*2*0.075*2.5*2+PI()*2*0.05*3.3*2*2.2+(0.15+0.05*2)*(2.7*2+3)+0.06*4*(2.08+2+0.9*2)+(0.15+0.05*2)*(0.9+0.33)</f>
        <v>10.736487023204722</v>
      </c>
      <c r="F423" s="7">
        <f>TRUNC(9.546,2)</f>
        <v>9.5399999999999991</v>
      </c>
      <c r="G423" s="7">
        <f t="shared" si="15"/>
        <v>102.42</v>
      </c>
    </row>
    <row r="424" spans="1:7" ht="24">
      <c r="A424" s="8"/>
      <c r="B424" s="137" t="s">
        <v>611</v>
      </c>
      <c r="C424" s="9" t="s">
        <v>439</v>
      </c>
      <c r="D424" s="6" t="s">
        <v>78</v>
      </c>
      <c r="E424" s="7">
        <f>PI()*2*0.075*2.5*2+PI()*2*0.05*3.3*2*2.2+(0.15+0.05*2)*(2.7*2+3)+0.06*4*(2.08+2+0.9*2)+(0.15+0.05*2)*(0.9+0.33)</f>
        <v>10.736487023204722</v>
      </c>
      <c r="F424" s="7">
        <f>TRUNC(29.9889,2)</f>
        <v>29.98</v>
      </c>
      <c r="G424" s="7">
        <f t="shared" si="15"/>
        <v>321.87</v>
      </c>
    </row>
    <row r="425" spans="1:7" ht="24">
      <c r="A425" s="8"/>
      <c r="B425" s="137" t="s">
        <v>436</v>
      </c>
      <c r="C425" s="9" t="s">
        <v>603</v>
      </c>
      <c r="D425" s="6" t="s">
        <v>15</v>
      </c>
      <c r="E425" s="7">
        <f>3*1.55*2/4</f>
        <v>2.3250000000000002</v>
      </c>
      <c r="F425" s="7">
        <f>TRUNC(10,2)</f>
        <v>10</v>
      </c>
      <c r="G425" s="7">
        <f>TRUNC(E425*F425,2)</f>
        <v>23.25</v>
      </c>
    </row>
    <row r="426" spans="1:7">
      <c r="A426" s="8"/>
      <c r="B426" s="137"/>
      <c r="C426" s="9"/>
      <c r="D426" s="6"/>
      <c r="E426" s="7"/>
      <c r="F426" s="7"/>
      <c r="G426" s="7"/>
    </row>
    <row r="427" spans="1:7" ht="96">
      <c r="A427" s="8"/>
      <c r="B427" s="137" t="s">
        <v>358</v>
      </c>
      <c r="C427" s="9" t="s">
        <v>604</v>
      </c>
      <c r="D427" s="6" t="s">
        <v>14</v>
      </c>
      <c r="E427" s="7">
        <f>(1.4*3)/2</f>
        <v>2.0999999999999996</v>
      </c>
      <c r="F427" s="7">
        <f>TRUNC(178.5,2)</f>
        <v>178.5</v>
      </c>
      <c r="G427" s="7">
        <f t="shared" si="15"/>
        <v>374.85</v>
      </c>
    </row>
    <row r="428" spans="1:7" ht="156">
      <c r="A428" s="8"/>
      <c r="B428" s="137" t="s">
        <v>359</v>
      </c>
      <c r="C428" s="9" t="s">
        <v>605</v>
      </c>
      <c r="D428" s="6" t="s">
        <v>78</v>
      </c>
      <c r="E428" s="7">
        <f>3*2.7</f>
        <v>8.1000000000000014</v>
      </c>
      <c r="F428" s="7">
        <f>TRUNC(122.204922,2)</f>
        <v>122.2</v>
      </c>
      <c r="G428" s="7">
        <f t="shared" si="15"/>
        <v>989.82</v>
      </c>
    </row>
    <row r="429" spans="1:7" ht="60">
      <c r="A429" s="8"/>
      <c r="B429" s="137" t="s">
        <v>429</v>
      </c>
      <c r="C429" s="9" t="s">
        <v>606</v>
      </c>
      <c r="D429" s="6" t="s">
        <v>79</v>
      </c>
      <c r="E429" s="7">
        <f>3</f>
        <v>3</v>
      </c>
      <c r="F429" s="7">
        <f>TRUNC(47.86293,2)</f>
        <v>47.86</v>
      </c>
      <c r="G429" s="7">
        <f t="shared" si="15"/>
        <v>143.58000000000001</v>
      </c>
    </row>
    <row r="430" spans="1:7" ht="24">
      <c r="A430" s="8"/>
      <c r="B430" s="137" t="s">
        <v>440</v>
      </c>
      <c r="C430" s="9" t="s">
        <v>607</v>
      </c>
      <c r="D430" s="6" t="s">
        <v>15</v>
      </c>
      <c r="E430" s="7">
        <f>3*2.7*2/4</f>
        <v>4.0500000000000007</v>
      </c>
      <c r="F430" s="7">
        <f>TRUNC(10,2)</f>
        <v>10</v>
      </c>
      <c r="G430" s="7">
        <f t="shared" si="15"/>
        <v>40.5</v>
      </c>
    </row>
    <row r="431" spans="1:7">
      <c r="A431" s="8"/>
      <c r="B431" s="137"/>
      <c r="C431" s="9"/>
      <c r="D431" s="6" t="s">
        <v>23</v>
      </c>
      <c r="E431" s="7"/>
      <c r="F431" s="7"/>
      <c r="G431" s="7">
        <f>SUM(G413:G429)</f>
        <v>6755.47</v>
      </c>
    </row>
    <row r="432" spans="1:7">
      <c r="A432" s="8"/>
      <c r="B432" s="137"/>
      <c r="C432" s="9"/>
      <c r="D432" s="6"/>
      <c r="E432" s="7"/>
      <c r="F432" s="7"/>
      <c r="G432" s="7"/>
    </row>
    <row r="433" spans="1:7" ht="96">
      <c r="A433" s="8" t="str">
        <f>Orçamento!A81</f>
        <v>6.3</v>
      </c>
      <c r="B433" s="137" t="s">
        <v>443</v>
      </c>
      <c r="C433" s="9" t="s">
        <v>445</v>
      </c>
      <c r="D433" s="6" t="s">
        <v>287</v>
      </c>
      <c r="E433" s="7"/>
      <c r="F433" s="7"/>
      <c r="G433" s="7"/>
    </row>
    <row r="434" spans="1:7">
      <c r="A434" s="8"/>
      <c r="B434" s="91" t="s">
        <v>166</v>
      </c>
      <c r="C434" s="22" t="s">
        <v>205</v>
      </c>
      <c r="D434" s="6"/>
      <c r="E434" s="7"/>
      <c r="F434" s="7"/>
      <c r="G434" s="7"/>
    </row>
    <row r="435" spans="1:7">
      <c r="A435" s="8"/>
      <c r="B435" s="91"/>
      <c r="C435" s="9" t="s">
        <v>446</v>
      </c>
      <c r="D435" s="6" t="s">
        <v>287</v>
      </c>
      <c r="E435" s="7">
        <v>1</v>
      </c>
      <c r="F435" s="7">
        <f>F411</f>
        <v>6755.47</v>
      </c>
      <c r="G435" s="7">
        <f t="shared" ref="G435:G442" si="16">TRUNC(E435*F435,2)</f>
        <v>6755.47</v>
      </c>
    </row>
    <row r="436" spans="1:7">
      <c r="A436" s="8"/>
      <c r="B436" s="137"/>
      <c r="C436" s="9" t="s">
        <v>434</v>
      </c>
      <c r="D436" s="6"/>
      <c r="E436" s="7"/>
      <c r="F436" s="7"/>
      <c r="G436" s="7"/>
    </row>
    <row r="437" spans="1:7" ht="24">
      <c r="A437" s="8"/>
      <c r="B437" s="137" t="s">
        <v>430</v>
      </c>
      <c r="C437" s="9" t="s">
        <v>612</v>
      </c>
      <c r="D437" s="6" t="s">
        <v>431</v>
      </c>
      <c r="E437" s="7">
        <f>(0.4*2+3*2)/6</f>
        <v>1.1333333333333333</v>
      </c>
      <c r="F437" s="7">
        <f>297.08</f>
        <v>297.08</v>
      </c>
      <c r="G437" s="7">
        <f t="shared" si="16"/>
        <v>336.69</v>
      </c>
    </row>
    <row r="438" spans="1:7" ht="36">
      <c r="A438" s="8"/>
      <c r="B438" s="137" t="s">
        <v>609</v>
      </c>
      <c r="C438" s="9" t="s">
        <v>613</v>
      </c>
      <c r="D438" s="6" t="s">
        <v>79</v>
      </c>
      <c r="E438" s="7">
        <f>(0.15+0.05*2)*4</f>
        <v>1</v>
      </c>
      <c r="F438" s="7">
        <f>TRUNC(60.4824,2)</f>
        <v>60.48</v>
      </c>
      <c r="G438" s="7">
        <f t="shared" si="16"/>
        <v>60.48</v>
      </c>
    </row>
    <row r="439" spans="1:7" ht="24">
      <c r="A439" s="8"/>
      <c r="B439" s="137" t="s">
        <v>435</v>
      </c>
      <c r="C439" s="9" t="s">
        <v>614</v>
      </c>
      <c r="D439" s="6" t="s">
        <v>85</v>
      </c>
      <c r="E439" s="7">
        <f>3*0.4*0.04</f>
        <v>4.8000000000000008E-2</v>
      </c>
      <c r="F439" s="7">
        <v>3880</v>
      </c>
      <c r="G439" s="7">
        <f t="shared" si="16"/>
        <v>186.24</v>
      </c>
    </row>
    <row r="440" spans="1:7" ht="84">
      <c r="A440" s="8"/>
      <c r="B440" s="137" t="s">
        <v>437</v>
      </c>
      <c r="C440" s="9" t="s">
        <v>615</v>
      </c>
      <c r="D440" s="6" t="s">
        <v>78</v>
      </c>
      <c r="E440" s="7">
        <f>3*(0.4*2+0.04*2)</f>
        <v>2.64</v>
      </c>
      <c r="F440" s="7">
        <f>TRUNC(10.56217,2)</f>
        <v>10.56</v>
      </c>
      <c r="G440" s="7">
        <f t="shared" si="16"/>
        <v>27.87</v>
      </c>
    </row>
    <row r="441" spans="1:7" ht="48">
      <c r="A441" s="8"/>
      <c r="B441" s="137" t="s">
        <v>610</v>
      </c>
      <c r="C441" s="9" t="s">
        <v>616</v>
      </c>
      <c r="D441" s="6" t="s">
        <v>78</v>
      </c>
      <c r="E441" s="7">
        <f>(0.4*2+3*2)*(0.15*2+0.05*2)</f>
        <v>2.72</v>
      </c>
      <c r="F441" s="7">
        <f>TRUNC(9.546,2)</f>
        <v>9.5399999999999991</v>
      </c>
      <c r="G441" s="7">
        <f t="shared" si="16"/>
        <v>25.94</v>
      </c>
    </row>
    <row r="442" spans="1:7" ht="36">
      <c r="A442" s="8"/>
      <c r="B442" s="137" t="s">
        <v>611</v>
      </c>
      <c r="C442" s="9" t="s">
        <v>617</v>
      </c>
      <c r="D442" s="6" t="s">
        <v>78</v>
      </c>
      <c r="E442" s="7">
        <f>(0.4*2+3*2)*(0.15*2+0.05*2)</f>
        <v>2.72</v>
      </c>
      <c r="F442" s="7">
        <f>TRUNC(29.9889,2)</f>
        <v>29.98</v>
      </c>
      <c r="G442" s="7">
        <f t="shared" si="16"/>
        <v>81.540000000000006</v>
      </c>
    </row>
    <row r="443" spans="1:7">
      <c r="A443" s="8"/>
      <c r="B443" s="8"/>
      <c r="C443" s="9"/>
      <c r="D443" s="6" t="s">
        <v>23</v>
      </c>
      <c r="E443" s="7"/>
      <c r="F443" s="7"/>
      <c r="G443" s="7">
        <f>SUM(G434:G442)</f>
        <v>7474.2299999999987</v>
      </c>
    </row>
    <row r="444" spans="1:7">
      <c r="A444" s="8"/>
      <c r="B444" s="8"/>
      <c r="C444" s="9"/>
      <c r="D444" s="6"/>
      <c r="E444" s="7"/>
      <c r="F444" s="7"/>
      <c r="G444" s="7"/>
    </row>
    <row r="445" spans="1:7">
      <c r="A445" s="8"/>
      <c r="B445" s="8"/>
      <c r="C445" s="9"/>
      <c r="D445" s="6"/>
      <c r="E445" s="7"/>
      <c r="F445" s="7"/>
      <c r="G445" s="7"/>
    </row>
    <row r="446" spans="1:7">
      <c r="A446" s="8"/>
      <c r="B446" s="8"/>
      <c r="C446" s="9"/>
      <c r="D446" s="6"/>
      <c r="E446" s="7"/>
      <c r="F446" s="7"/>
      <c r="G446" s="7"/>
    </row>
    <row r="447" spans="1:7">
      <c r="A447" s="8"/>
      <c r="B447" s="8"/>
      <c r="C447" s="9"/>
      <c r="D447" s="6"/>
      <c r="E447" s="7"/>
      <c r="F447" s="7"/>
      <c r="G447" s="7"/>
    </row>
  </sheetData>
  <mergeCells count="5">
    <mergeCell ref="A1:G1"/>
    <mergeCell ref="A2:G2"/>
    <mergeCell ref="A3:G3"/>
    <mergeCell ref="A5:G5"/>
    <mergeCell ref="A7:G7"/>
  </mergeCells>
  <printOptions horizontalCentered="1"/>
  <pageMargins left="0.39370078740157483" right="0.23622047244094491" top="0.59055118110236227" bottom="0.82677165354330717" header="0.51181102362204722" footer="0.51181102362204722"/>
  <pageSetup paperSize="9" scale="36" fitToWidth="0" fitToHeight="8" orientation="portrait" blackAndWhite="1" horizontalDpi="4294967294" verticalDpi="300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view="pageBreakPreview" topLeftCell="A82" zoomScale="85" zoomScaleNormal="100" zoomScaleSheetLayoutView="85" workbookViewId="0">
      <selection activeCell="A79" sqref="A79:G92"/>
    </sheetView>
  </sheetViews>
  <sheetFormatPr defaultColWidth="11.42578125" defaultRowHeight="12.75"/>
  <cols>
    <col min="1" max="1" width="5.7109375" style="1" customWidth="1"/>
    <col min="2" max="2" width="12.7109375" style="1" customWidth="1"/>
    <col min="3" max="3" width="40.42578125" style="1" customWidth="1"/>
    <col min="4" max="4" width="7.42578125" style="1" customWidth="1"/>
    <col min="5" max="5" width="8.28515625" style="1" customWidth="1"/>
    <col min="6" max="6" width="11.42578125" style="1" customWidth="1"/>
    <col min="7" max="7" width="13" style="1" customWidth="1"/>
    <col min="8" max="8" width="7.7109375" style="1" customWidth="1"/>
    <col min="9" max="9" width="7.140625" style="1" customWidth="1"/>
    <col min="10" max="10" width="7.28515625" style="1" customWidth="1"/>
    <col min="11" max="16384" width="11.42578125" style="1"/>
  </cols>
  <sheetData>
    <row r="1" spans="1:8" ht="23.25">
      <c r="A1" s="161" t="s">
        <v>9</v>
      </c>
      <c r="B1" s="161"/>
      <c r="C1" s="161"/>
      <c r="D1" s="161"/>
      <c r="E1" s="161"/>
      <c r="F1" s="161"/>
      <c r="G1" s="161"/>
      <c r="H1" s="12"/>
    </row>
    <row r="2" spans="1:8" ht="20.25">
      <c r="A2" s="162" t="s">
        <v>10</v>
      </c>
      <c r="B2" s="162"/>
      <c r="C2" s="162"/>
      <c r="D2" s="162"/>
      <c r="E2" s="162"/>
      <c r="F2" s="162"/>
      <c r="G2" s="162"/>
      <c r="H2" s="12"/>
    </row>
    <row r="3" spans="1:8" ht="18">
      <c r="A3" s="163" t="s">
        <v>11</v>
      </c>
      <c r="B3" s="163"/>
      <c r="C3" s="163"/>
      <c r="D3" s="163"/>
      <c r="E3" s="163"/>
      <c r="F3" s="163"/>
      <c r="G3" s="163"/>
      <c r="H3" s="12"/>
    </row>
    <row r="4" spans="1:8" ht="15.75">
      <c r="A4" s="11"/>
      <c r="B4" s="13"/>
      <c r="C4" s="13"/>
      <c r="D4" s="14"/>
      <c r="E4" s="14"/>
      <c r="F4" s="15"/>
      <c r="G4" s="15"/>
      <c r="H4" s="12"/>
    </row>
    <row r="5" spans="1:8" ht="15.75">
      <c r="A5" s="164" t="s">
        <v>22</v>
      </c>
      <c r="B5" s="164"/>
      <c r="C5" s="164"/>
      <c r="D5" s="164"/>
      <c r="E5" s="164"/>
      <c r="F5" s="164"/>
      <c r="G5" s="164"/>
      <c r="H5" s="12"/>
    </row>
    <row r="6" spans="1:8" ht="15.75">
      <c r="A6" s="2"/>
      <c r="B6" s="13"/>
      <c r="C6" s="13"/>
      <c r="D6" s="14"/>
      <c r="E6" s="14"/>
      <c r="F6" s="15"/>
      <c r="G6" s="15"/>
      <c r="H6" s="12"/>
    </row>
    <row r="7" spans="1:8" ht="24" customHeight="1">
      <c r="A7" s="165" t="str">
        <f>'BDI Desonerado (2)'!D6</f>
        <v>Substituição e acréscimo dos abrigos e urbanização do entorno no ponto de ônibus sito a Rua José Marcelino de Camargo, em frente a Rua José Martorano, Centro.</v>
      </c>
      <c r="B7" s="166"/>
      <c r="C7" s="166"/>
      <c r="D7" s="166"/>
      <c r="E7" s="166"/>
      <c r="F7" s="166"/>
      <c r="G7" s="166"/>
      <c r="H7" s="12"/>
    </row>
    <row r="8" spans="1:8" ht="15.75">
      <c r="A8" s="3" t="s">
        <v>7</v>
      </c>
      <c r="B8" s="4"/>
      <c r="C8" s="4"/>
      <c r="D8" s="10" t="s">
        <v>619</v>
      </c>
      <c r="F8" s="5"/>
      <c r="G8" s="86"/>
      <c r="H8" s="12"/>
    </row>
    <row r="9" spans="1:8" ht="14.25" customHeight="1">
      <c r="A9" s="20" t="s">
        <v>0</v>
      </c>
      <c r="B9" s="20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</row>
    <row r="10" spans="1:8">
      <c r="A10" s="17" t="s">
        <v>12</v>
      </c>
      <c r="B10" s="17"/>
      <c r="C10" s="18" t="s">
        <v>158</v>
      </c>
      <c r="D10" s="6"/>
      <c r="E10" s="7"/>
      <c r="F10" s="7"/>
      <c r="G10" s="7"/>
    </row>
    <row r="11" spans="1:8" ht="72">
      <c r="A11" s="109" t="s">
        <v>13</v>
      </c>
      <c r="B11" s="8" t="s">
        <v>159</v>
      </c>
      <c r="C11" s="9" t="s">
        <v>280</v>
      </c>
      <c r="D11" s="6" t="s">
        <v>78</v>
      </c>
      <c r="E11" s="7">
        <f>'Memoria Quantitativo'!E14</f>
        <v>2.88</v>
      </c>
      <c r="F11" s="7">
        <f>'Memoria Preço'!G11</f>
        <v>169.78</v>
      </c>
      <c r="G11" s="7">
        <f t="shared" ref="G11:G19" si="0">TRUNC(E11*F11,2)</f>
        <v>488.96</v>
      </c>
    </row>
    <row r="12" spans="1:8" ht="106.5" customHeight="1">
      <c r="A12" s="109" t="s">
        <v>67</v>
      </c>
      <c r="B12" s="8" t="str">
        <f>'Memoria Preço'!B18</f>
        <v>02.002.0007-5</v>
      </c>
      <c r="C12" s="9" t="str">
        <f>'Memoria Preço'!C18</f>
        <v>TAPUME DE VEDACAO OU PROTECAO, 2,00M DE ALTURA, EXECUTADO COM TELHAS TRAPEZOIDAIS DE ACO GALVANIZADO, ESPESSURA DE 0,5MM, ESTAS COM 3 VEZES DE UTILIZACAO, INCLUSIVE ENGRADAMENTO DE MADEIRA, UTILIZADO 2 VEZES, EXCLUSIVE PINTURA (OBS.:3% - DESGASTE DE FERRAMENTAS E EPI).</v>
      </c>
      <c r="D12" s="6" t="s">
        <v>78</v>
      </c>
      <c r="E12" s="7">
        <f>'Memoria Quantitativo'!E21</f>
        <v>276</v>
      </c>
      <c r="F12" s="7">
        <f>'Memoria Preço'!F18</f>
        <v>19.63</v>
      </c>
      <c r="G12" s="7">
        <f t="shared" si="0"/>
        <v>5417.88</v>
      </c>
    </row>
    <row r="13" spans="1:8" ht="92.25" customHeight="1">
      <c r="A13" s="109" t="s">
        <v>18</v>
      </c>
      <c r="B13" s="8" t="s">
        <v>160</v>
      </c>
      <c r="C13" s="9" t="s">
        <v>176</v>
      </c>
      <c r="D13" s="6" t="s">
        <v>78</v>
      </c>
      <c r="E13" s="7">
        <f>'Memoria Quantitativo'!E28</f>
        <v>190.2</v>
      </c>
      <c r="F13" s="7">
        <f>'Memoria Preço'!G31</f>
        <v>0.78</v>
      </c>
      <c r="G13" s="7">
        <f t="shared" si="0"/>
        <v>148.35</v>
      </c>
    </row>
    <row r="14" spans="1:8" ht="36">
      <c r="A14" s="109" t="s">
        <v>68</v>
      </c>
      <c r="B14" s="8" t="s">
        <v>84</v>
      </c>
      <c r="C14" s="9" t="s">
        <v>138</v>
      </c>
      <c r="D14" s="6" t="s">
        <v>14</v>
      </c>
      <c r="E14" s="7">
        <f>'Memoria Quantitativo'!E35</f>
        <v>3</v>
      </c>
      <c r="F14" s="7">
        <f>'Memoria Preço'!G34</f>
        <v>91.62</v>
      </c>
      <c r="G14" s="7">
        <f t="shared" si="0"/>
        <v>274.86</v>
      </c>
    </row>
    <row r="15" spans="1:8" ht="72">
      <c r="A15" s="109" t="s">
        <v>69</v>
      </c>
      <c r="B15" s="8" t="s">
        <v>180</v>
      </c>
      <c r="C15" s="9" t="s">
        <v>189</v>
      </c>
      <c r="D15" s="6" t="s">
        <v>78</v>
      </c>
      <c r="E15" s="7">
        <f>'Memoria Quantitativo'!E42</f>
        <v>366.48</v>
      </c>
      <c r="F15" s="7">
        <f>'Memoria Preço'!G43</f>
        <v>8.7899999999999991</v>
      </c>
      <c r="G15" s="7">
        <f t="shared" si="0"/>
        <v>3221.35</v>
      </c>
    </row>
    <row r="16" spans="1:8" ht="36">
      <c r="A16" s="109" t="s">
        <v>70</v>
      </c>
      <c r="B16" s="8" t="s">
        <v>194</v>
      </c>
      <c r="C16" s="9" t="s">
        <v>195</v>
      </c>
      <c r="D16" s="6" t="s">
        <v>79</v>
      </c>
      <c r="E16" s="7">
        <f>'Memoria Quantitativo'!E49</f>
        <v>72.75</v>
      </c>
      <c r="F16" s="7">
        <f>'Memoria Preço'!G49</f>
        <v>44.93</v>
      </c>
      <c r="G16" s="7">
        <f>TRUNC(E16*F16,2)</f>
        <v>3268.65</v>
      </c>
    </row>
    <row r="17" spans="1:7" ht="72">
      <c r="A17" s="109" t="s">
        <v>71</v>
      </c>
      <c r="B17" s="8" t="s">
        <v>80</v>
      </c>
      <c r="C17" s="9" t="s">
        <v>81</v>
      </c>
      <c r="D17" s="6" t="s">
        <v>79</v>
      </c>
      <c r="E17" s="7">
        <f>'Memoria Quantitativo'!E56</f>
        <v>9.8500000000000014</v>
      </c>
      <c r="F17" s="7">
        <f>'Memoria Preço'!G52</f>
        <v>14.81</v>
      </c>
      <c r="G17" s="7">
        <f t="shared" si="0"/>
        <v>145.87</v>
      </c>
    </row>
    <row r="18" spans="1:7" ht="60">
      <c r="A18" s="109" t="s">
        <v>72</v>
      </c>
      <c r="B18" s="8" t="s">
        <v>197</v>
      </c>
      <c r="C18" s="9" t="s">
        <v>198</v>
      </c>
      <c r="D18" s="6" t="s">
        <v>85</v>
      </c>
      <c r="E18" s="7">
        <f>'Memoria Quantitativo'!E63</f>
        <v>0.4</v>
      </c>
      <c r="F18" s="7">
        <f>'Memoria Preço'!G55</f>
        <v>471.42</v>
      </c>
      <c r="G18" s="7">
        <f t="shared" si="0"/>
        <v>188.56</v>
      </c>
    </row>
    <row r="19" spans="1:7" ht="106.5" customHeight="1">
      <c r="A19" s="109" t="s">
        <v>73</v>
      </c>
      <c r="B19" s="8" t="str">
        <f>'Memoria Preço'!B56</f>
        <v>05.001.0128-5</v>
      </c>
      <c r="C19" s="100" t="str">
        <f>'Memoria Preço'!C56</f>
        <v>REMOÇÃO, UTILIZANDO GUINDAUTO, DE ESTRUTURA DE CONCRETO PRÉ-MOLDADO (ABRIGO DE PONTO DE ÔNIBUS) COM FORMA DE MEIA LUA DE 2,80M DE ALTURA, 2,20 DE PROFUNDIDADE E 6 MODULOS DE 0,50M DE LARGURA PERFAZENDO 3,00M DE LARGURA TOTAL. ENGASTADO EM PISO DE CONDRETO. COM CARGA DIRETAMENTO NO CAMINHÃO.</v>
      </c>
      <c r="D19" s="6" t="str">
        <f>'Memoria Preço'!D56</f>
        <v>UN</v>
      </c>
      <c r="E19" s="7">
        <f>'Memoria Quantitativo'!E70</f>
        <v>5</v>
      </c>
      <c r="F19" s="7">
        <f>'Memoria Preço'!F56</f>
        <v>236.85000000000002</v>
      </c>
      <c r="G19" s="7">
        <f t="shared" si="0"/>
        <v>1184.25</v>
      </c>
    </row>
    <row r="20" spans="1:7" ht="108">
      <c r="A20" s="109" t="s">
        <v>74</v>
      </c>
      <c r="B20" s="8" t="s">
        <v>94</v>
      </c>
      <c r="C20" s="9" t="s">
        <v>137</v>
      </c>
      <c r="D20" s="6" t="s">
        <v>89</v>
      </c>
      <c r="E20" s="7">
        <f>'Memoria Quantitativo'!E80</f>
        <v>81.339680000000001</v>
      </c>
      <c r="F20" s="7">
        <f>'Memoria Preço'!G68</f>
        <v>18.96</v>
      </c>
      <c r="G20" s="7">
        <f t="shared" ref="G20:G23" si="1">TRUNC(E20*F20,2)</f>
        <v>1542.2</v>
      </c>
    </row>
    <row r="21" spans="1:7" ht="84">
      <c r="A21" s="109" t="s">
        <v>130</v>
      </c>
      <c r="B21" s="8" t="s">
        <v>192</v>
      </c>
      <c r="C21" s="9" t="s">
        <v>193</v>
      </c>
      <c r="D21" s="6" t="s">
        <v>99</v>
      </c>
      <c r="E21" s="7">
        <f>'Memoria Quantitativo'!E87</f>
        <v>1391</v>
      </c>
      <c r="F21" s="7">
        <f>'Memoria Preço'!G71</f>
        <v>0.63</v>
      </c>
      <c r="G21" s="7">
        <f t="shared" si="1"/>
        <v>876.33</v>
      </c>
    </row>
    <row r="22" spans="1:7" ht="72">
      <c r="A22" s="109" t="s">
        <v>132</v>
      </c>
      <c r="B22" s="8" t="s">
        <v>449</v>
      </c>
      <c r="C22" s="9" t="s">
        <v>450</v>
      </c>
      <c r="D22" s="6" t="s">
        <v>448</v>
      </c>
      <c r="E22" s="7">
        <f>'Memoria Quantitativo'!E94</f>
        <v>10</v>
      </c>
      <c r="F22" s="7">
        <f>'Memoria Preço'!G74</f>
        <v>41</v>
      </c>
      <c r="G22" s="7">
        <f t="shared" si="1"/>
        <v>410</v>
      </c>
    </row>
    <row r="23" spans="1:7" ht="96">
      <c r="A23" s="109" t="s">
        <v>136</v>
      </c>
      <c r="B23" s="8" t="s">
        <v>451</v>
      </c>
      <c r="C23" s="9" t="s">
        <v>452</v>
      </c>
      <c r="D23" s="6" t="s">
        <v>14</v>
      </c>
      <c r="E23" s="7">
        <f>'Memoria Quantitativo'!E101</f>
        <v>6</v>
      </c>
      <c r="F23" s="7">
        <f>'Memoria Preço'!G85</f>
        <v>66.41</v>
      </c>
      <c r="G23" s="7">
        <f t="shared" si="1"/>
        <v>398.46</v>
      </c>
    </row>
    <row r="24" spans="1:7">
      <c r="A24" s="109"/>
      <c r="B24" s="8"/>
      <c r="C24" s="9"/>
      <c r="D24" s="102" t="s">
        <v>120</v>
      </c>
      <c r="E24" s="16"/>
      <c r="F24" s="16"/>
      <c r="G24" s="16">
        <f>SUM(G11:G23)</f>
        <v>17565.72</v>
      </c>
    </row>
    <row r="25" spans="1:7">
      <c r="A25" s="109"/>
      <c r="B25" s="8"/>
      <c r="C25" s="9"/>
      <c r="D25" s="6"/>
      <c r="E25" s="7"/>
      <c r="F25" s="7"/>
      <c r="G25" s="7"/>
    </row>
    <row r="26" spans="1:7">
      <c r="A26" s="17" t="s">
        <v>19</v>
      </c>
      <c r="B26" s="17"/>
      <c r="C26" s="18" t="s">
        <v>100</v>
      </c>
      <c r="D26" s="6"/>
      <c r="E26" s="7"/>
      <c r="F26" s="7"/>
      <c r="G26" s="7"/>
    </row>
    <row r="27" spans="1:7" ht="132">
      <c r="A27" s="109" t="s">
        <v>20</v>
      </c>
      <c r="B27" s="8" t="s">
        <v>203</v>
      </c>
      <c r="C27" s="9" t="s">
        <v>204</v>
      </c>
      <c r="D27" s="6" t="s">
        <v>85</v>
      </c>
      <c r="E27" s="7">
        <f>'Memoria Quantitativo'!E110</f>
        <v>1.6</v>
      </c>
      <c r="F27" s="7">
        <f>'Memoria Preço'!G104</f>
        <v>1559.41</v>
      </c>
      <c r="G27" s="7">
        <f t="shared" ref="G27:G29" si="2">TRUNC(E27*F27,2)</f>
        <v>2495.0500000000002</v>
      </c>
    </row>
    <row r="28" spans="1:7" ht="117" customHeight="1">
      <c r="A28" s="109" t="s">
        <v>21</v>
      </c>
      <c r="B28" s="8" t="str">
        <f>'Memoria Preço'!B105</f>
        <v>11.090.0610-5</v>
      </c>
      <c r="C28" s="9" t="str">
        <f>'Memoria Preço'!C105</f>
        <v>RECOMPOSIÇÃO DE CAMADA DE CAPEAMENTO DE CINTA DE CONCRETO ARMADO, COMPREENDENDO ESCARIFICAÇÃO DAS PARTES DANIFICADAS E REVESTIMENTO COM ESPESSURA ENTRE 1CM E 2CM COM ARGAMASSA DE CIMENTO E AREIA NO TRACO 1:3 ADITIVADA COM RESINA ACRILICA NA PROPORCAO 50ML/M3 DE ARGAMASSA E SILICA ATIVA NA PROPORCAO DE 5% A 10% DE CIMENTO</v>
      </c>
      <c r="D28" s="6" t="s">
        <v>78</v>
      </c>
      <c r="E28" s="7">
        <f>'Memoria Quantitativo'!E118</f>
        <v>10.54</v>
      </c>
      <c r="F28" s="7">
        <f>'Memoria Preço'!F105</f>
        <v>22.85</v>
      </c>
      <c r="G28" s="7">
        <f t="shared" si="2"/>
        <v>240.83</v>
      </c>
    </row>
    <row r="29" spans="1:7" ht="108">
      <c r="A29" s="109" t="s">
        <v>75</v>
      </c>
      <c r="B29" s="8" t="s">
        <v>630</v>
      </c>
      <c r="C29" s="9" t="s">
        <v>101</v>
      </c>
      <c r="D29" s="6" t="s">
        <v>79</v>
      </c>
      <c r="E29" s="7">
        <f>'Memoria Quantitativo'!E125</f>
        <v>10</v>
      </c>
      <c r="F29" s="7">
        <f>'Memoria Preço'!G126</f>
        <v>50.49</v>
      </c>
      <c r="G29" s="7">
        <f t="shared" si="2"/>
        <v>504.9</v>
      </c>
    </row>
    <row r="30" spans="1:7" ht="108">
      <c r="A30" s="109" t="s">
        <v>76</v>
      </c>
      <c r="B30" s="8" t="str">
        <f>'Memoria Preço'!B127</f>
        <v>03.009.0004-5</v>
      </c>
      <c r="C30" s="9" t="str">
        <f>'Memoria Preço'!C127</f>
        <v>ATERRO COM MATERIAL DE 1¦CATEGORIA, COMPACTADO MANUALMENTE EM CAMADAS DE 20CM,ATE UMA ALTURA MAXIMA DE 80CM,PARA SUPORTE DE CAMADA DE CONCRETO, INCLUSIVE DOIS TIROS DE PA, ESPALHAMENTO E REGA, INCLUSIVE FORNECIMENTO DA TERRA COM D.M.T.=10KM (OBS.:3%-DESGASTE DE FERRAMENTAS E EPI).</v>
      </c>
      <c r="D30" s="6" t="s">
        <v>85</v>
      </c>
      <c r="E30" s="7">
        <f>'Memoria Quantitativo'!E133</f>
        <v>15.79</v>
      </c>
      <c r="F30" s="7">
        <f>'Memoria Preço'!F127</f>
        <v>84.06</v>
      </c>
      <c r="G30" s="7">
        <f>TRUNC(E30*F30,2)</f>
        <v>1327.3</v>
      </c>
    </row>
    <row r="31" spans="1:7">
      <c r="A31" s="109"/>
      <c r="B31" s="8"/>
      <c r="C31" s="9"/>
      <c r="D31" s="102" t="s">
        <v>121</v>
      </c>
      <c r="E31" s="7"/>
      <c r="F31" s="7"/>
      <c r="G31" s="16">
        <f>SUM(G27:G30)</f>
        <v>4568.08</v>
      </c>
    </row>
    <row r="32" spans="1:7">
      <c r="A32" s="17" t="s">
        <v>318</v>
      </c>
      <c r="B32" s="17"/>
      <c r="C32" s="18" t="s">
        <v>319</v>
      </c>
      <c r="D32" s="102"/>
      <c r="E32" s="7"/>
      <c r="F32" s="7"/>
      <c r="G32" s="7"/>
    </row>
    <row r="33" spans="1:7">
      <c r="A33" s="109" t="s">
        <v>320</v>
      </c>
      <c r="B33" s="8"/>
      <c r="C33" s="9" t="s">
        <v>235</v>
      </c>
      <c r="D33" s="6"/>
      <c r="E33" s="7"/>
      <c r="F33" s="7"/>
      <c r="G33" s="7"/>
    </row>
    <row r="34" spans="1:7" ht="60">
      <c r="A34" s="109" t="s">
        <v>321</v>
      </c>
      <c r="B34" s="8" t="s">
        <v>88</v>
      </c>
      <c r="C34" s="9" t="s">
        <v>133</v>
      </c>
      <c r="D34" s="6" t="s">
        <v>85</v>
      </c>
      <c r="E34" s="7">
        <f>'Memoria Quantitativo'!E142</f>
        <v>2.34</v>
      </c>
      <c r="F34" s="7">
        <f>'Memoria Preço'!G141</f>
        <v>32.33</v>
      </c>
      <c r="G34" s="7">
        <f t="shared" ref="G34:G48" si="3">TRUNC(E34*F34,2)</f>
        <v>75.650000000000006</v>
      </c>
    </row>
    <row r="35" spans="1:7" ht="36">
      <c r="A35" s="109" t="s">
        <v>322</v>
      </c>
      <c r="B35" s="8" t="s">
        <v>234</v>
      </c>
      <c r="C35" s="9" t="s">
        <v>239</v>
      </c>
      <c r="D35" s="6" t="s">
        <v>79</v>
      </c>
      <c r="E35" s="7">
        <f>'Memoria Quantitativo'!E149</f>
        <v>12</v>
      </c>
      <c r="F35" s="7">
        <f>'Memoria Preço'!G144</f>
        <v>10.1</v>
      </c>
      <c r="G35" s="7">
        <f t="shared" si="3"/>
        <v>121.2</v>
      </c>
    </row>
    <row r="36" spans="1:7" ht="132">
      <c r="A36" s="109" t="s">
        <v>323</v>
      </c>
      <c r="B36" s="8" t="s">
        <v>203</v>
      </c>
      <c r="C36" s="9" t="s">
        <v>204</v>
      </c>
      <c r="D36" s="6" t="s">
        <v>85</v>
      </c>
      <c r="E36" s="7">
        <f>'Memoria Quantitativo'!E158</f>
        <v>0.87</v>
      </c>
      <c r="F36" s="7">
        <f>'Memoria Preço'!G161</f>
        <v>1559.41</v>
      </c>
      <c r="G36" s="7">
        <f t="shared" si="3"/>
        <v>1356.68</v>
      </c>
    </row>
    <row r="37" spans="1:7" ht="66" customHeight="1">
      <c r="A37" s="109" t="s">
        <v>324</v>
      </c>
      <c r="B37" s="8" t="s">
        <v>240</v>
      </c>
      <c r="C37" s="9" t="s">
        <v>241</v>
      </c>
      <c r="D37" s="6" t="s">
        <v>85</v>
      </c>
      <c r="E37" s="7">
        <f>'Memoria Quantitativo'!E165</f>
        <v>1.8</v>
      </c>
      <c r="F37" s="7">
        <f>'Memoria Preço'!G167</f>
        <v>17.850000000000001</v>
      </c>
      <c r="G37" s="7">
        <f t="shared" si="3"/>
        <v>32.130000000000003</v>
      </c>
    </row>
    <row r="38" spans="1:7" ht="84">
      <c r="A38" s="109" t="s">
        <v>325</v>
      </c>
      <c r="B38" s="8" t="s">
        <v>242</v>
      </c>
      <c r="C38" s="9" t="s">
        <v>243</v>
      </c>
      <c r="D38" s="6" t="s">
        <v>78</v>
      </c>
      <c r="E38" s="7">
        <f>'Memoria Quantitativo'!E172</f>
        <v>11.88</v>
      </c>
      <c r="F38" s="7">
        <f>'Memoria Preço'!G173</f>
        <v>54.22</v>
      </c>
      <c r="G38" s="7">
        <f t="shared" si="3"/>
        <v>644.13</v>
      </c>
    </row>
    <row r="39" spans="1:7" ht="60">
      <c r="A39" s="109" t="s">
        <v>326</v>
      </c>
      <c r="B39" s="8" t="s">
        <v>246</v>
      </c>
      <c r="C39" s="9" t="s">
        <v>247</v>
      </c>
      <c r="D39" s="6" t="s">
        <v>78</v>
      </c>
      <c r="E39" s="7">
        <f>'Memoria Quantitativo'!E179</f>
        <v>106.13</v>
      </c>
      <c r="F39" s="7">
        <f>'Memoria Preço'!G179</f>
        <v>22.4</v>
      </c>
      <c r="G39" s="7">
        <f t="shared" si="3"/>
        <v>2377.31</v>
      </c>
    </row>
    <row r="40" spans="1:7" ht="90.75" customHeight="1">
      <c r="A40" s="109" t="s">
        <v>327</v>
      </c>
      <c r="B40" s="8" t="str">
        <f>'Memoria Preço'!B180</f>
        <v>13.075.0010-5</v>
      </c>
      <c r="C40" s="9" t="str">
        <f>'Memoria Preço'!C180</f>
        <v>REVESTIMENTO DE PAREDES OU MUROS COM FILETES DERIVADOS DE PEDRAS ("LAJINHA") COM ESPESSURA DE 1,5CM, COM ARGAMASSA DE ARGAMASSA CIM., CAL E AREIA FINA,TRACO1:3:5. FORNECIMENTO E COLOCACAO (OBS.:3%-DESGASTE DE FERRAMENTAS E EPI).</v>
      </c>
      <c r="D40" s="6" t="s">
        <v>78</v>
      </c>
      <c r="E40" s="7">
        <f>'Memoria Quantitativo'!E185</f>
        <v>96.46</v>
      </c>
      <c r="F40" s="7">
        <f>'Memoria Preço'!F180</f>
        <v>95.67</v>
      </c>
      <c r="G40" s="7">
        <f t="shared" si="3"/>
        <v>9228.32</v>
      </c>
    </row>
    <row r="41" spans="1:7" ht="151.5" customHeight="1">
      <c r="A41" s="109" t="s">
        <v>328</v>
      </c>
      <c r="B41" s="8" t="str">
        <f>'Memoria Preço'!B189</f>
        <v>08.020.0008-5</v>
      </c>
      <c r="C41" s="9" t="str">
        <f>'Memoria Preço'!C189</f>
        <v>PAVIMENTACAO LAJOTAS CONCRETO, JUNTAS RETA (SEM ANGULO ENTRE AS LAJOTAS), ALTAMENTE VIBRADO, INTERTRAVADO, C/ARTICULACAO VERTICAL,PRE-FABRICADOS, COR-NATURAL,ESP.6CM, RESISTENCIA A COMPRESSAO 35MPA, ASSENTES SOBRE COLCHAO PO-DE-PEDRA, AREIA OU MATERIAL EQUIVALENTE, C/JUNTAS TOMADAS C/ARGAMASSA CIMENTO E AREIA,TRACO 1:4 ,EXCL.PREPARO TERRENO,C /FORN. DE TODOS OS MAT., BEM COMO A COLOCAC. (OBS.:3%-DESGASTE DE FERRAMENTAS E EPI).</v>
      </c>
      <c r="D41" s="6" t="s">
        <v>78</v>
      </c>
      <c r="E41" s="7">
        <f>'Memoria Quantitativo'!E192</f>
        <v>316.91000000000003</v>
      </c>
      <c r="F41" s="7">
        <f>'Memoria Preço'!F189</f>
        <v>66.150000000000006</v>
      </c>
      <c r="G41" s="7">
        <f t="shared" si="3"/>
        <v>20963.59</v>
      </c>
    </row>
    <row r="42" spans="1:7" ht="60">
      <c r="A42" s="109" t="s">
        <v>329</v>
      </c>
      <c r="B42" s="8" t="s">
        <v>255</v>
      </c>
      <c r="C42" s="9" t="s">
        <v>256</v>
      </c>
      <c r="D42" s="6" t="s">
        <v>78</v>
      </c>
      <c r="E42" s="7">
        <f>'Memoria Quantitativo'!E199</f>
        <v>11.49</v>
      </c>
      <c r="F42" s="7">
        <f>'Memoria Preço'!G206</f>
        <v>87.64</v>
      </c>
      <c r="G42" s="7">
        <f t="shared" si="3"/>
        <v>1006.98</v>
      </c>
    </row>
    <row r="43" spans="1:7" ht="60">
      <c r="A43" s="109" t="s">
        <v>330</v>
      </c>
      <c r="B43" s="8" t="s">
        <v>257</v>
      </c>
      <c r="C43" s="9" t="s">
        <v>258</v>
      </c>
      <c r="D43" s="6" t="s">
        <v>78</v>
      </c>
      <c r="E43" s="7">
        <f>'Memoria Quantitativo'!E206</f>
        <v>65.790000000000006</v>
      </c>
      <c r="F43" s="7">
        <f>'Memoria Preço'!G212</f>
        <v>87.64</v>
      </c>
      <c r="G43" s="7">
        <f t="shared" si="3"/>
        <v>5765.83</v>
      </c>
    </row>
    <row r="44" spans="1:7" ht="144">
      <c r="A44" s="109" t="s">
        <v>331</v>
      </c>
      <c r="B44" s="8" t="str">
        <f>'Memoria Preço'!B213</f>
        <v>13.373.0020-5</v>
      </c>
      <c r="C44" s="9" t="str">
        <f>'Memoria Preço'!C213</f>
        <v>PISO DE CONCRETO ARMADO MONOLITICO, C/JUNTA FRIA, ALISADO C/REGUA VIBRATORIA, ESPESSURA 8CM, SOBRE TERRENO ACERTADO E SOBRE LASTRO DE BRITA, INCLUSIVE BRITA, LONA DE TECIDO RESINADO, TELA SOLDADA 15X15CM #4,2MM(DUPLA), CONCRETO USINADO RESISTENCIA A COMPRESSAO 20MPA C/TRANSPORTE DO CONCRETO E TODA A MAO-DE-OBRA E EQUIPAMENTOS NECESSARIOS (OBS.:3%-DESGASTE DE FERRAMENTAS E EPI).</v>
      </c>
      <c r="D44" s="6" t="s">
        <v>78</v>
      </c>
      <c r="E44" s="7">
        <f>'Memoria Quantitativo'!E213</f>
        <v>51.54</v>
      </c>
      <c r="F44" s="7">
        <f>'Memoria Preço'!F213</f>
        <v>68.63</v>
      </c>
      <c r="G44" s="7">
        <f t="shared" si="3"/>
        <v>3537.19</v>
      </c>
    </row>
    <row r="45" spans="1:7" ht="132">
      <c r="A45" s="109" t="s">
        <v>332</v>
      </c>
      <c r="B45" s="8" t="s">
        <v>279</v>
      </c>
      <c r="C45" s="9" t="s">
        <v>281</v>
      </c>
      <c r="D45" s="6" t="s">
        <v>78</v>
      </c>
      <c r="E45" s="7">
        <f>'Memoria Quantitativo'!E220</f>
        <v>181.5</v>
      </c>
      <c r="F45" s="7">
        <f>'Memoria Preço'!G242</f>
        <v>40.630000000000003</v>
      </c>
      <c r="G45" s="7">
        <f t="shared" si="3"/>
        <v>7374.34</v>
      </c>
    </row>
    <row r="46" spans="1:7">
      <c r="A46" s="109" t="s">
        <v>333</v>
      </c>
      <c r="B46" s="8"/>
      <c r="C46" s="9" t="s">
        <v>282</v>
      </c>
      <c r="D46" s="6"/>
      <c r="E46" s="7"/>
      <c r="F46" s="7"/>
      <c r="G46" s="7"/>
    </row>
    <row r="47" spans="1:7" ht="76.5" customHeight="1">
      <c r="A47" s="109" t="s">
        <v>334</v>
      </c>
      <c r="B47" s="8" t="str">
        <f>'Memoria Preço'!B244</f>
        <v>14.006.0695-5</v>
      </c>
      <c r="C47" s="9" t="str">
        <f>'Memoria Preço'!C244</f>
        <v>FORNECIMENTO E ASSENTO DE BANCO, COM 2 PEÇAS DE 2,00M DE COMPRIMENTO DE MADEIRA DE REFLORESTAMENTO AUTOCLAVADA DE 22X16CM, FIXADO EM ESTRUTURA DE FERRRO COM 6 PARAFUSOS , ROSCA SOBERBA, CABECACHATA, DE 5,5MMX2.1/2"</v>
      </c>
      <c r="D47" s="6" t="s">
        <v>287</v>
      </c>
      <c r="E47" s="7">
        <f>'Memoria Quantitativo'!E229</f>
        <v>5</v>
      </c>
      <c r="F47" s="7">
        <f>'Memoria Preço'!F244</f>
        <v>296.24</v>
      </c>
      <c r="G47" s="7">
        <f t="shared" si="3"/>
        <v>1481.2</v>
      </c>
    </row>
    <row r="48" spans="1:7" ht="129" customHeight="1">
      <c r="A48" s="109" t="s">
        <v>335</v>
      </c>
      <c r="B48" s="8" t="str">
        <f>'Memoria Preço'!B264</f>
        <v>11284-5</v>
      </c>
      <c r="C48" s="9" t="str">
        <f>'Memoria Preço'!C264</f>
        <v>SUPORTE PARA BANCO DE MADEIRA (PÉS) EM BARRA CHATA DE 4"X 1/2", COMREENDENDO CORTES, DOBRAGEM E SOLDAS DO PERFIL. FIXADO EM PILARETE A TRADO DE 10" EM CICLOPICO CONFECCIONADO COM CONCRETO DOSADO PARA UMA RESISTENCIA CARACTERISTICA A COMPRESSAO DE 10MPA,TENDO 30% DO VOLUME REAL OCUPADO POR PEDRA-DE-MAO. FORNECIMENTO E ASSENTAMENTO</v>
      </c>
      <c r="D48" s="6" t="s">
        <v>287</v>
      </c>
      <c r="E48" s="7">
        <f>'Memoria Quantitativo'!E236</f>
        <v>15</v>
      </c>
      <c r="F48" s="7">
        <f>'Memoria Preço'!F264</f>
        <v>160.57</v>
      </c>
      <c r="G48" s="7">
        <f t="shared" si="3"/>
        <v>2408.5500000000002</v>
      </c>
    </row>
    <row r="49" spans="1:11">
      <c r="A49" s="109"/>
      <c r="B49" s="8"/>
      <c r="C49" s="9"/>
      <c r="D49" s="102" t="s">
        <v>336</v>
      </c>
      <c r="E49" s="7"/>
      <c r="F49" s="7"/>
      <c r="G49" s="16">
        <f>SUM(G33:G48)</f>
        <v>56373.100000000006</v>
      </c>
    </row>
    <row r="50" spans="1:11">
      <c r="A50" s="109" t="s">
        <v>337</v>
      </c>
      <c r="B50" s="8"/>
      <c r="C50" s="18" t="s">
        <v>297</v>
      </c>
      <c r="D50" s="6"/>
      <c r="E50" s="7"/>
      <c r="F50" s="7"/>
      <c r="G50" s="7"/>
    </row>
    <row r="51" spans="1:11" ht="72">
      <c r="A51" s="109" t="s">
        <v>338</v>
      </c>
      <c r="B51" s="8" t="s">
        <v>570</v>
      </c>
      <c r="C51" s="9" t="s">
        <v>300</v>
      </c>
      <c r="D51" s="6" t="s">
        <v>14</v>
      </c>
      <c r="E51" s="7">
        <f>'Memoria Quantitativo'!E243</f>
        <v>2</v>
      </c>
      <c r="F51" s="7">
        <f>'Memoria Preço'!G274</f>
        <v>92.36</v>
      </c>
      <c r="G51" s="7">
        <f>TRUNC(E51*F51,2)</f>
        <v>184.72</v>
      </c>
    </row>
    <row r="52" spans="1:11" ht="132">
      <c r="A52" s="109" t="s">
        <v>339</v>
      </c>
      <c r="B52" s="8" t="s">
        <v>298</v>
      </c>
      <c r="C52" s="9" t="s">
        <v>299</v>
      </c>
      <c r="D52" s="6" t="s">
        <v>79</v>
      </c>
      <c r="E52" s="7">
        <f>'Memoria Quantitativo'!E250</f>
        <v>100</v>
      </c>
      <c r="F52" s="7">
        <f>'Memoria Preço'!G286</f>
        <v>9.32</v>
      </c>
      <c r="G52" s="7">
        <f t="shared" ref="G52:G55" si="4">TRUNC(E52*F52,2)</f>
        <v>932</v>
      </c>
    </row>
    <row r="53" spans="1:11" ht="84">
      <c r="A53" s="109" t="s">
        <v>340</v>
      </c>
      <c r="B53" s="8" t="s">
        <v>304</v>
      </c>
      <c r="C53" s="9" t="s">
        <v>305</v>
      </c>
      <c r="D53" s="6" t="s">
        <v>79</v>
      </c>
      <c r="E53" s="7">
        <f>'Memoria Quantitativo'!E257</f>
        <v>5</v>
      </c>
      <c r="F53" s="7">
        <f>'Memoria Preço'!G291</f>
        <v>8.2799999999999994</v>
      </c>
      <c r="G53" s="7">
        <f t="shared" si="4"/>
        <v>41.4</v>
      </c>
    </row>
    <row r="54" spans="1:11" ht="96">
      <c r="A54" s="109" t="s">
        <v>341</v>
      </c>
      <c r="B54" s="8" t="s">
        <v>301</v>
      </c>
      <c r="C54" s="9" t="s">
        <v>302</v>
      </c>
      <c r="D54" s="6" t="s">
        <v>79</v>
      </c>
      <c r="E54" s="7">
        <f>'Memoria Quantitativo'!E264</f>
        <v>241</v>
      </c>
      <c r="F54" s="7">
        <f>'Memoria Preço'!G296</f>
        <v>6.26</v>
      </c>
      <c r="G54" s="7">
        <f t="shared" si="4"/>
        <v>1508.66</v>
      </c>
    </row>
    <row r="55" spans="1:11" ht="144">
      <c r="A55" s="109" t="s">
        <v>342</v>
      </c>
      <c r="B55" s="8" t="s">
        <v>568</v>
      </c>
      <c r="C55" s="9" t="s">
        <v>306</v>
      </c>
      <c r="D55" s="6" t="s">
        <v>14</v>
      </c>
      <c r="E55" s="7">
        <f>'Memoria Quantitativo'!E271</f>
        <v>11</v>
      </c>
      <c r="F55" s="7">
        <f>'Memoria Preço'!F297</f>
        <v>872.49</v>
      </c>
      <c r="G55" s="7">
        <f t="shared" si="4"/>
        <v>9597.39</v>
      </c>
    </row>
    <row r="56" spans="1:11">
      <c r="A56" s="109"/>
      <c r="B56" s="8"/>
      <c r="C56" s="9"/>
      <c r="D56" s="102" t="s">
        <v>343</v>
      </c>
      <c r="E56" s="7"/>
      <c r="F56" s="7"/>
      <c r="G56" s="16">
        <f>SUM(G51:G55)</f>
        <v>12264.17</v>
      </c>
    </row>
    <row r="57" spans="1:11">
      <c r="A57" s="17" t="s">
        <v>344</v>
      </c>
      <c r="B57" s="8"/>
      <c r="C57" s="18" t="s">
        <v>307</v>
      </c>
      <c r="D57" s="6"/>
      <c r="E57" s="7"/>
      <c r="F57" s="7"/>
      <c r="G57" s="7"/>
    </row>
    <row r="58" spans="1:11" ht="36">
      <c r="A58" s="109" t="s">
        <v>345</v>
      </c>
      <c r="B58" s="8" t="s">
        <v>308</v>
      </c>
      <c r="C58" s="9" t="s">
        <v>309</v>
      </c>
      <c r="D58" s="6" t="s">
        <v>85</v>
      </c>
      <c r="E58" s="7">
        <f>'Memoria Quantitativo'!E279</f>
        <v>8.93</v>
      </c>
      <c r="F58" s="7">
        <f>'Memoria Preço'!G307</f>
        <v>53.65</v>
      </c>
      <c r="G58" s="7">
        <f t="shared" ref="G58:G62" si="5">TRUNC(E58*F58,2)</f>
        <v>479.09</v>
      </c>
      <c r="K58" s="1">
        <f>(1.28 + 0.88)/2 * 15.6</f>
        <v>16.847999999999999</v>
      </c>
    </row>
    <row r="59" spans="1:11" ht="84">
      <c r="A59" s="109" t="s">
        <v>346</v>
      </c>
      <c r="B59" s="8" t="s">
        <v>351</v>
      </c>
      <c r="C59" s="9" t="s">
        <v>311</v>
      </c>
      <c r="D59" s="6" t="s">
        <v>14</v>
      </c>
      <c r="E59" s="7">
        <f>'Memoria Quantitativo'!E287</f>
        <v>15</v>
      </c>
      <c r="F59" s="7">
        <f>'Memoria Preço'!F308</f>
        <v>3</v>
      </c>
      <c r="G59" s="7">
        <f t="shared" si="5"/>
        <v>45</v>
      </c>
    </row>
    <row r="60" spans="1:11" ht="48">
      <c r="A60" s="109" t="s">
        <v>347</v>
      </c>
      <c r="B60" s="8" t="s">
        <v>353</v>
      </c>
      <c r="C60" s="9" t="s">
        <v>315</v>
      </c>
      <c r="D60" s="6" t="s">
        <v>14</v>
      </c>
      <c r="E60" s="7">
        <f>'Memoria Quantitativo'!E287</f>
        <v>15</v>
      </c>
      <c r="F60" s="7">
        <f>'Memoria Preço'!F315</f>
        <v>0.7</v>
      </c>
      <c r="G60" s="7">
        <f t="shared" si="5"/>
        <v>10.5</v>
      </c>
    </row>
    <row r="61" spans="1:11" ht="96">
      <c r="A61" s="109" t="s">
        <v>348</v>
      </c>
      <c r="B61" s="8" t="s">
        <v>354</v>
      </c>
      <c r="C61" s="9" t="s">
        <v>313</v>
      </c>
      <c r="D61" s="6" t="s">
        <v>14</v>
      </c>
      <c r="E61" s="7">
        <f>'Memoria Quantitativo'!E293</f>
        <v>20</v>
      </c>
      <c r="F61" s="7">
        <f>'Memoria Preço'!F322</f>
        <v>3.3</v>
      </c>
      <c r="G61" s="7">
        <f t="shared" si="5"/>
        <v>66</v>
      </c>
    </row>
    <row r="62" spans="1:11" ht="48">
      <c r="A62" s="109" t="s">
        <v>349</v>
      </c>
      <c r="B62" s="8" t="s">
        <v>355</v>
      </c>
      <c r="C62" s="9" t="s">
        <v>317</v>
      </c>
      <c r="D62" s="6" t="s">
        <v>14</v>
      </c>
      <c r="E62" s="7">
        <f>'Memoria Quantitativo'!E295</f>
        <v>20</v>
      </c>
      <c r="F62" s="7">
        <f>'Memoria Preço'!F329</f>
        <v>2.1</v>
      </c>
      <c r="G62" s="7">
        <f t="shared" si="5"/>
        <v>42</v>
      </c>
    </row>
    <row r="63" spans="1:11">
      <c r="A63" s="109"/>
      <c r="B63" s="8"/>
      <c r="C63" s="9"/>
      <c r="D63" s="102" t="s">
        <v>350</v>
      </c>
      <c r="E63" s="7"/>
      <c r="F63" s="7"/>
      <c r="G63" s="16">
        <f>SUM(G58:G62)</f>
        <v>642.58999999999992</v>
      </c>
    </row>
    <row r="64" spans="1:11">
      <c r="A64" s="109"/>
      <c r="B64" s="8"/>
      <c r="C64" s="9"/>
      <c r="D64" s="6"/>
      <c r="E64" s="7"/>
      <c r="F64" s="7"/>
      <c r="G64" s="7"/>
    </row>
    <row r="65" spans="1:7">
      <c r="A65" s="17" t="s">
        <v>356</v>
      </c>
      <c r="B65" s="17"/>
      <c r="C65" s="18" t="s">
        <v>191</v>
      </c>
      <c r="D65" s="6"/>
      <c r="E65" s="7"/>
      <c r="F65" s="7"/>
      <c r="G65" s="7"/>
    </row>
    <row r="66" spans="1:7">
      <c r="A66" s="17" t="s">
        <v>357</v>
      </c>
      <c r="B66" s="17"/>
      <c r="C66" s="18" t="s">
        <v>360</v>
      </c>
      <c r="D66" s="6"/>
      <c r="E66" s="7"/>
      <c r="F66" s="7"/>
      <c r="G66" s="7"/>
    </row>
    <row r="67" spans="1:7" ht="36">
      <c r="A67" s="109" t="s">
        <v>363</v>
      </c>
      <c r="B67" s="8" t="s">
        <v>361</v>
      </c>
      <c r="C67" s="9" t="s">
        <v>362</v>
      </c>
      <c r="D67" s="6" t="s">
        <v>79</v>
      </c>
      <c r="E67" s="7">
        <f>'Memoria Quantitativo'!E305</f>
        <v>42</v>
      </c>
      <c r="F67" s="7">
        <f>'Memoria Preço'!G340</f>
        <v>18.86</v>
      </c>
      <c r="G67" s="7">
        <f t="shared" ref="G67:G81" si="6">TRUNC(E67*F67,2)</f>
        <v>792.12</v>
      </c>
    </row>
    <row r="68" spans="1:7" ht="60">
      <c r="A68" s="109" t="s">
        <v>364</v>
      </c>
      <c r="B68" s="8" t="s">
        <v>88</v>
      </c>
      <c r="C68" s="9" t="s">
        <v>133</v>
      </c>
      <c r="D68" s="6" t="s">
        <v>85</v>
      </c>
      <c r="E68" s="7">
        <f>'Memoria Quantitativo'!E312</f>
        <v>42</v>
      </c>
      <c r="F68" s="7">
        <f>'Memoria Preço'!G343</f>
        <v>32.33</v>
      </c>
      <c r="G68" s="7">
        <f t="shared" si="6"/>
        <v>1357.86</v>
      </c>
    </row>
    <row r="69" spans="1:7" ht="60">
      <c r="A69" s="109" t="s">
        <v>365</v>
      </c>
      <c r="B69" s="8" t="s">
        <v>134</v>
      </c>
      <c r="C69" s="9" t="s">
        <v>135</v>
      </c>
      <c r="D69" s="6" t="s">
        <v>85</v>
      </c>
      <c r="E69" s="7">
        <f>'Memoria Quantitativo'!E319</f>
        <v>2.19</v>
      </c>
      <c r="F69" s="7">
        <f>'Memoria Preço'!G346</f>
        <v>43.78</v>
      </c>
      <c r="G69" s="7">
        <f t="shared" si="6"/>
        <v>95.87</v>
      </c>
    </row>
    <row r="70" spans="1:7" ht="36">
      <c r="A70" s="109" t="s">
        <v>366</v>
      </c>
      <c r="B70" s="8" t="s">
        <v>379</v>
      </c>
      <c r="C70" s="9" t="s">
        <v>380</v>
      </c>
      <c r="D70" s="6" t="s">
        <v>85</v>
      </c>
      <c r="E70" s="7">
        <f>'Memoria Quantitativo'!E326</f>
        <v>6.6</v>
      </c>
      <c r="F70" s="7">
        <f>'Memoria Preço'!G349</f>
        <v>37.72</v>
      </c>
      <c r="G70" s="7">
        <f t="shared" si="6"/>
        <v>248.95</v>
      </c>
    </row>
    <row r="71" spans="1:7" ht="72">
      <c r="A71" s="109" t="s">
        <v>367</v>
      </c>
      <c r="B71" s="8" t="s">
        <v>377</v>
      </c>
      <c r="C71" s="9" t="s">
        <v>378</v>
      </c>
      <c r="D71" s="6" t="s">
        <v>85</v>
      </c>
      <c r="E71" s="7">
        <f>'Memoria Quantitativo'!E333</f>
        <v>0.5</v>
      </c>
      <c r="F71" s="7">
        <f>'Memoria Preço'!G354</f>
        <v>203.44</v>
      </c>
      <c r="G71" s="7">
        <f t="shared" si="6"/>
        <v>101.72</v>
      </c>
    </row>
    <row r="72" spans="1:7" ht="72">
      <c r="A72" s="109" t="s">
        <v>374</v>
      </c>
      <c r="B72" s="8" t="s">
        <v>370</v>
      </c>
      <c r="C72" s="9" t="s">
        <v>371</v>
      </c>
      <c r="D72" s="6" t="s">
        <v>85</v>
      </c>
      <c r="E72" s="7">
        <f>'Memoria Quantitativo'!E340</f>
        <v>9.02</v>
      </c>
      <c r="F72" s="7">
        <f>'Memoria Preço'!G359</f>
        <v>229.37</v>
      </c>
      <c r="G72" s="7">
        <f t="shared" si="6"/>
        <v>2068.91</v>
      </c>
    </row>
    <row r="73" spans="1:7" ht="84">
      <c r="A73" s="109" t="s">
        <v>375</v>
      </c>
      <c r="B73" s="8" t="s">
        <v>368</v>
      </c>
      <c r="C73" s="9" t="s">
        <v>369</v>
      </c>
      <c r="D73" s="6" t="s">
        <v>85</v>
      </c>
      <c r="E73" s="7">
        <f>'Memoria Quantitativo'!E348</f>
        <v>9.52</v>
      </c>
      <c r="F73" s="7">
        <f>'Memoria Preço'!G363</f>
        <v>50.49</v>
      </c>
      <c r="G73" s="7">
        <f t="shared" si="6"/>
        <v>480.66</v>
      </c>
    </row>
    <row r="74" spans="1:7" ht="96">
      <c r="A74" s="109" t="s">
        <v>376</v>
      </c>
      <c r="B74" s="8" t="s">
        <v>372</v>
      </c>
      <c r="C74" s="9" t="s">
        <v>373</v>
      </c>
      <c r="D74" s="6" t="s">
        <v>85</v>
      </c>
      <c r="E74" s="7">
        <f>'Memoria Quantitativo'!E348</f>
        <v>9.52</v>
      </c>
      <c r="F74" s="7">
        <f>'Memoria Preço'!G370</f>
        <v>58.97</v>
      </c>
      <c r="G74" s="7">
        <f t="shared" si="6"/>
        <v>561.39</v>
      </c>
    </row>
    <row r="75" spans="1:7" ht="84">
      <c r="A75" s="109" t="s">
        <v>381</v>
      </c>
      <c r="B75" s="8" t="s">
        <v>382</v>
      </c>
      <c r="C75" s="9" t="s">
        <v>383</v>
      </c>
      <c r="D75" s="6" t="s">
        <v>15</v>
      </c>
      <c r="E75" s="7">
        <f>'Memoria Quantitativo'!E356</f>
        <v>87.22</v>
      </c>
      <c r="F75" s="7">
        <f>'Memoria Preço'!G374</f>
        <v>3.82</v>
      </c>
      <c r="G75" s="7">
        <f t="shared" si="6"/>
        <v>333.18</v>
      </c>
    </row>
    <row r="76" spans="1:7" ht="72">
      <c r="A76" s="109" t="s">
        <v>390</v>
      </c>
      <c r="B76" s="8" t="s">
        <v>387</v>
      </c>
      <c r="C76" s="9" t="s">
        <v>386</v>
      </c>
      <c r="D76" s="6" t="s">
        <v>15</v>
      </c>
      <c r="E76" s="7">
        <f>E75</f>
        <v>87.22</v>
      </c>
      <c r="F76" s="7">
        <f>'Memoria Preço'!G378</f>
        <v>3.84</v>
      </c>
      <c r="G76" s="7">
        <f t="shared" si="6"/>
        <v>334.92</v>
      </c>
    </row>
    <row r="77" spans="1:7" ht="84">
      <c r="A77" s="109" t="s">
        <v>391</v>
      </c>
      <c r="B77" s="8" t="s">
        <v>384</v>
      </c>
      <c r="C77" s="9" t="s">
        <v>385</v>
      </c>
      <c r="D77" s="6" t="s">
        <v>15</v>
      </c>
      <c r="E77" s="7">
        <f>'Memoria Quantitativo'!E364</f>
        <v>474.32</v>
      </c>
      <c r="F77" s="7">
        <f>'Memoria Preço'!G384</f>
        <v>3.85</v>
      </c>
      <c r="G77" s="7">
        <f t="shared" si="6"/>
        <v>1826.13</v>
      </c>
    </row>
    <row r="78" spans="1:7" ht="72">
      <c r="A78" s="109" t="s">
        <v>392</v>
      </c>
      <c r="B78" s="8" t="s">
        <v>388</v>
      </c>
      <c r="C78" s="9" t="s">
        <v>389</v>
      </c>
      <c r="D78" s="6" t="s">
        <v>15</v>
      </c>
      <c r="E78" s="7">
        <f>E77</f>
        <v>474.32</v>
      </c>
      <c r="F78" s="7">
        <f>'Memoria Preço'!G388</f>
        <v>3.36</v>
      </c>
      <c r="G78" s="7">
        <f t="shared" si="6"/>
        <v>1593.71</v>
      </c>
    </row>
    <row r="79" spans="1:7" ht="48">
      <c r="A79" s="109" t="s">
        <v>393</v>
      </c>
      <c r="B79" s="8" t="str">
        <f>'Memoria Preço'!B389</f>
        <v>11.020.0001-5</v>
      </c>
      <c r="C79" s="9" t="str">
        <f>'Memoria Preço'!C389</f>
        <v>CHUMBADOR EM AÇO CA-50, DIÂM. 12.5MM, COM 0,60M DE COMPRIMENTO, ROSCA TOTAL, INCLUSIVE PORCA SEXTAVADA E ARRUELA. FORNECIMENTO E ASSENTAMENTO.</v>
      </c>
      <c r="D79" s="6" t="s">
        <v>14</v>
      </c>
      <c r="E79" s="7">
        <f>'Memoria Quantitativo'!E371</f>
        <v>112</v>
      </c>
      <c r="F79" s="7">
        <f>'Memoria Preço'!F389</f>
        <v>9.9700000000000006</v>
      </c>
      <c r="G79" s="7">
        <f t="shared" si="6"/>
        <v>1116.6400000000001</v>
      </c>
    </row>
    <row r="80" spans="1:7" ht="90.75" customHeight="1">
      <c r="A80" s="109" t="s">
        <v>442</v>
      </c>
      <c r="B80" s="8" t="str">
        <f>'Memoria Preço'!B411</f>
        <v>10.014.0022-5</v>
      </c>
      <c r="C80" s="9" t="str">
        <f>'Memoria Preço'!C411</f>
        <v>ABRIGO DE PONTO DE ÔNIBUS, EM ESTRUTURA METÁLICA TUBULAR, COM FECHAMENTO NOS FUNDOS CHAPA PERFURADA, NAS LATERAIS COM VIDRO TEMPERADO E COBERTURA EM TELHAS TERMOACÚSTICAS, EXCLUSIVE BANCO. CONFORME PROJETO DA SMPu. FORNECIMENTO E ASSENTAMENTO.</v>
      </c>
      <c r="D80" s="6" t="str">
        <f>'Memoria Preço'!D411</f>
        <v>CJ</v>
      </c>
      <c r="E80" s="7">
        <f>'Memoria Quantitativo'!E378</f>
        <v>1</v>
      </c>
      <c r="F80" s="7">
        <f>'Memoria Preço'!F411</f>
        <v>6755.47</v>
      </c>
      <c r="G80" s="7">
        <f t="shared" si="6"/>
        <v>6755.47</v>
      </c>
    </row>
    <row r="81" spans="1:7" ht="102.75" customHeight="1">
      <c r="A81" s="109" t="s">
        <v>444</v>
      </c>
      <c r="B81" s="8" t="str">
        <f>'Memoria Preço'!B433</f>
        <v>10.014.0022-5</v>
      </c>
      <c r="C81" s="9" t="str">
        <f>'Memoria Preço'!C433</f>
        <v>ABRIGO DE PONTO DE ÔNIBUS, EM ESTRUTURA METÁLICA TUBULAR, COM FECHAMENTO NOS FUNDOS DE CHAPA PERFURADA, NAS LATERAIS COM VIDRO TEMPERADO, COBERTURA EM TELHAS TERMOACÚSTICAS E BANCO EM MADEIRA DE LEI ENVERNIZADA. CONFORME PROJETO DA SMPu. FORNECIMENTO E ASSENTAMENTO.</v>
      </c>
      <c r="D81" s="6" t="str">
        <f>'Memoria Preço'!D433</f>
        <v>CJ</v>
      </c>
      <c r="E81" s="7">
        <f>'Memoria Quantitativo'!E385</f>
        <v>6</v>
      </c>
      <c r="F81" s="7">
        <f>'Memoria Preço'!G443</f>
        <v>7474.2299999999987</v>
      </c>
      <c r="G81" s="7">
        <f t="shared" si="6"/>
        <v>44845.38</v>
      </c>
    </row>
    <row r="82" spans="1:7">
      <c r="A82" s="8"/>
      <c r="B82" s="8"/>
      <c r="C82" s="9"/>
      <c r="D82" s="102" t="s">
        <v>447</v>
      </c>
      <c r="E82" s="7"/>
      <c r="F82" s="7"/>
      <c r="G82" s="16">
        <f>SUM(G67:G81)</f>
        <v>62512.909999999996</v>
      </c>
    </row>
    <row r="83" spans="1:7">
      <c r="A83" s="8"/>
      <c r="B83" s="8"/>
      <c r="C83" s="9"/>
      <c r="D83" s="6"/>
      <c r="E83" s="7"/>
      <c r="F83" s="7"/>
      <c r="G83" s="7"/>
    </row>
    <row r="84" spans="1:7">
      <c r="A84" s="8"/>
      <c r="B84" s="8"/>
      <c r="C84" s="9"/>
      <c r="D84" s="6"/>
      <c r="E84" s="7"/>
      <c r="F84" s="7"/>
      <c r="G84" s="7"/>
    </row>
    <row r="85" spans="1:7">
      <c r="A85" s="8"/>
      <c r="B85" s="8"/>
      <c r="C85" s="9"/>
      <c r="D85" s="16" t="s">
        <v>122</v>
      </c>
      <c r="E85" s="7"/>
      <c r="F85" s="7"/>
      <c r="G85" s="16">
        <f>TRUNC(SUM(G11:G83)/2,2)</f>
        <v>153926.57</v>
      </c>
    </row>
    <row r="86" spans="1:7">
      <c r="A86" s="8"/>
      <c r="B86" s="8"/>
      <c r="C86" s="9"/>
      <c r="D86" s="6"/>
      <c r="E86" s="7"/>
      <c r="F86" s="7"/>
      <c r="G86" s="7"/>
    </row>
    <row r="87" spans="1:7">
      <c r="A87" s="8"/>
      <c r="B87" s="8"/>
      <c r="C87" s="9"/>
      <c r="D87" s="6" t="s">
        <v>17</v>
      </c>
      <c r="E87" s="21">
        <f>'BDI Desonerado (2)'!H32/100</f>
        <v>0.18241615081598184</v>
      </c>
      <c r="F87" s="7">
        <f>G85</f>
        <v>153926.57</v>
      </c>
      <c r="G87" s="7">
        <f>TRUNC(E87*F87,2)</f>
        <v>28078.69</v>
      </c>
    </row>
    <row r="88" spans="1:7">
      <c r="A88" s="8"/>
      <c r="B88" s="8"/>
      <c r="C88" s="9"/>
      <c r="D88" s="6"/>
      <c r="E88" s="7"/>
      <c r="F88" s="7"/>
      <c r="G88" s="7"/>
    </row>
    <row r="89" spans="1:7">
      <c r="A89" s="8"/>
      <c r="B89" s="8"/>
      <c r="C89" s="9"/>
      <c r="D89" s="16" t="s">
        <v>123</v>
      </c>
      <c r="E89" s="7"/>
      <c r="F89" s="7"/>
      <c r="G89" s="16">
        <f>SUM(G84:G87)</f>
        <v>182005.26</v>
      </c>
    </row>
    <row r="90" spans="1:7">
      <c r="A90" s="8"/>
      <c r="B90" s="8"/>
      <c r="C90" s="9"/>
      <c r="D90" s="6"/>
      <c r="E90" s="7"/>
      <c r="F90" s="7"/>
      <c r="G90" s="7"/>
    </row>
    <row r="91" spans="1:7">
      <c r="G91" s="19"/>
    </row>
    <row r="92" spans="1:7" ht="255" customHeight="1">
      <c r="B92" s="167" t="s">
        <v>618</v>
      </c>
      <c r="C92" s="168"/>
      <c r="D92" s="168"/>
      <c r="E92" s="168"/>
      <c r="F92" s="168"/>
    </row>
  </sheetData>
  <mergeCells count="6">
    <mergeCell ref="B92:F92"/>
    <mergeCell ref="A1:G1"/>
    <mergeCell ref="A2:G2"/>
    <mergeCell ref="A3:G3"/>
    <mergeCell ref="A5:G5"/>
    <mergeCell ref="A7:G7"/>
  </mergeCells>
  <printOptions horizontalCentered="1"/>
  <pageMargins left="0.39370078740157483" right="0.24" top="0.59055118110236227" bottom="1.0236220472440944" header="0.51181102362204722" footer="0.51181102362204722"/>
  <pageSetup paperSize="9" orientation="portrait" blackAndWhite="1" horizontalDpi="4294967294" verticalDpi="30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85" zoomScaleNormal="100" zoomScaleSheetLayoutView="85" workbookViewId="0">
      <selection activeCell="B1" sqref="A1:G24"/>
    </sheetView>
  </sheetViews>
  <sheetFormatPr defaultRowHeight="12.75"/>
  <cols>
    <col min="1" max="1" width="9.140625" style="110"/>
    <col min="2" max="2" width="52.28515625" style="110" customWidth="1"/>
    <col min="3" max="3" width="9.7109375" style="110" customWidth="1"/>
    <col min="4" max="4" width="6.7109375" style="110" customWidth="1"/>
    <col min="5" max="5" width="11.85546875" style="110" customWidth="1"/>
    <col min="6" max="6" width="8.42578125" style="110" customWidth="1"/>
    <col min="7" max="7" width="13.28515625" style="110" customWidth="1"/>
    <col min="8" max="8" width="21.28515625" style="110" customWidth="1"/>
    <col min="9" max="16384" width="9.140625" style="110"/>
  </cols>
  <sheetData>
    <row r="1" spans="1:10" ht="31.5">
      <c r="A1" s="133"/>
      <c r="B1" s="169" t="s">
        <v>9</v>
      </c>
      <c r="C1" s="169"/>
      <c r="D1" s="169"/>
      <c r="E1" s="169"/>
      <c r="F1" s="169"/>
      <c r="G1" s="169"/>
    </row>
    <row r="2" spans="1:10" ht="22.5">
      <c r="A2" s="133"/>
      <c r="B2" s="170" t="s">
        <v>10</v>
      </c>
      <c r="C2" s="170"/>
      <c r="D2" s="170"/>
      <c r="E2" s="170"/>
      <c r="F2" s="170"/>
      <c r="G2" s="170"/>
    </row>
    <row r="3" spans="1:10">
      <c r="A3" s="136"/>
      <c r="B3" s="136"/>
      <c r="C3" s="136"/>
      <c r="D3" s="136"/>
      <c r="E3" s="136"/>
      <c r="F3" s="136"/>
      <c r="G3" s="135"/>
    </row>
    <row r="4" spans="1:10">
      <c r="A4" s="171" t="s">
        <v>627</v>
      </c>
      <c r="B4" s="171"/>
      <c r="C4" s="171"/>
      <c r="D4" s="171"/>
      <c r="E4" s="171"/>
      <c r="F4" s="171"/>
      <c r="G4" s="171"/>
    </row>
    <row r="5" spans="1:10">
      <c r="A5" s="134"/>
      <c r="B5" s="134"/>
      <c r="C5" s="134"/>
      <c r="D5" s="134"/>
      <c r="E5" s="134"/>
      <c r="F5" s="134"/>
      <c r="G5" s="133"/>
    </row>
    <row r="6" spans="1:10">
      <c r="A6" s="132" t="s">
        <v>64</v>
      </c>
      <c r="B6" s="133"/>
      <c r="C6" s="133"/>
      <c r="D6" s="133"/>
      <c r="E6" s="133"/>
      <c r="F6" s="133"/>
      <c r="G6" s="133"/>
    </row>
    <row r="7" spans="1:10" ht="27.75" customHeight="1">
      <c r="A7" s="132"/>
      <c r="B7" s="178" t="s">
        <v>156</v>
      </c>
      <c r="C7" s="178"/>
      <c r="D7" s="178"/>
      <c r="E7" s="178"/>
      <c r="F7" s="178"/>
      <c r="G7" s="178"/>
    </row>
    <row r="8" spans="1:10">
      <c r="A8" s="131"/>
      <c r="B8" s="129"/>
      <c r="C8" s="129"/>
      <c r="D8" s="130"/>
      <c r="E8" s="130"/>
      <c r="F8" s="130"/>
      <c r="G8" s="129"/>
    </row>
    <row r="9" spans="1:10">
      <c r="A9" s="172" t="s">
        <v>0</v>
      </c>
      <c r="B9" s="172" t="s">
        <v>626</v>
      </c>
      <c r="C9" s="175" t="s">
        <v>628</v>
      </c>
      <c r="D9" s="175"/>
      <c r="E9" s="175" t="s">
        <v>629</v>
      </c>
      <c r="F9" s="175"/>
      <c r="G9" s="176" t="s">
        <v>23</v>
      </c>
    </row>
    <row r="10" spans="1:10">
      <c r="A10" s="173"/>
      <c r="B10" s="174"/>
      <c r="C10" s="128" t="s">
        <v>625</v>
      </c>
      <c r="D10" s="128" t="s">
        <v>16</v>
      </c>
      <c r="E10" s="128" t="s">
        <v>625</v>
      </c>
      <c r="F10" s="128" t="s">
        <v>16</v>
      </c>
      <c r="G10" s="177"/>
    </row>
    <row r="11" spans="1:10">
      <c r="A11" s="127"/>
      <c r="B11" s="126"/>
      <c r="C11" s="120"/>
      <c r="D11" s="125"/>
      <c r="E11" s="120"/>
      <c r="F11" s="125"/>
      <c r="G11" s="120"/>
      <c r="H11" s="112"/>
    </row>
    <row r="12" spans="1:10">
      <c r="A12" s="124" t="s">
        <v>12</v>
      </c>
      <c r="B12" s="126" t="s">
        <v>158</v>
      </c>
      <c r="C12" s="120">
        <f>D12*G12</f>
        <v>11417.718000000001</v>
      </c>
      <c r="D12" s="125">
        <v>0.65</v>
      </c>
      <c r="E12" s="120">
        <f t="shared" ref="E12:E17" si="0">F12*G12</f>
        <v>6148.0020000000004</v>
      </c>
      <c r="F12" s="125">
        <v>0.35</v>
      </c>
      <c r="G12" s="120">
        <f>Orçamento!G24</f>
        <v>17565.72</v>
      </c>
      <c r="H12" s="121"/>
      <c r="J12" s="112"/>
    </row>
    <row r="13" spans="1:10">
      <c r="A13" s="124" t="s">
        <v>19</v>
      </c>
      <c r="B13" s="118" t="s">
        <v>100</v>
      </c>
      <c r="C13" s="120">
        <f>D13*G13</f>
        <v>2969.252</v>
      </c>
      <c r="D13" s="125">
        <v>0.65</v>
      </c>
      <c r="E13" s="120">
        <f t="shared" si="0"/>
        <v>1598.828</v>
      </c>
      <c r="F13" s="125">
        <v>0.35</v>
      </c>
      <c r="G13" s="120">
        <f>Orçamento!G31</f>
        <v>4568.08</v>
      </c>
      <c r="H13" s="121"/>
      <c r="J13" s="112"/>
    </row>
    <row r="14" spans="1:10">
      <c r="A14" s="124" t="s">
        <v>318</v>
      </c>
      <c r="B14" s="118" t="s">
        <v>319</v>
      </c>
      <c r="C14" s="120">
        <f>D14*G14</f>
        <v>36642.515000000007</v>
      </c>
      <c r="D14" s="123">
        <v>0.65</v>
      </c>
      <c r="E14" s="120">
        <f t="shared" si="0"/>
        <v>19730.584999999999</v>
      </c>
      <c r="F14" s="123">
        <v>0.35</v>
      </c>
      <c r="G14" s="122">
        <f>Orçamento!G49</f>
        <v>56373.100000000006</v>
      </c>
      <c r="H14" s="121"/>
      <c r="J14" s="112"/>
    </row>
    <row r="15" spans="1:10">
      <c r="A15" s="124" t="s">
        <v>337</v>
      </c>
      <c r="B15" s="118" t="s">
        <v>297</v>
      </c>
      <c r="C15" s="120">
        <f>D15*G15</f>
        <v>3679.2509999999997</v>
      </c>
      <c r="D15" s="123">
        <v>0.3</v>
      </c>
      <c r="E15" s="120">
        <f t="shared" si="0"/>
        <v>8584.9189999999999</v>
      </c>
      <c r="F15" s="123">
        <v>0.7</v>
      </c>
      <c r="G15" s="122">
        <f>Orçamento!G56</f>
        <v>12264.17</v>
      </c>
      <c r="H15" s="121"/>
      <c r="J15" s="112"/>
    </row>
    <row r="16" spans="1:10">
      <c r="A16" s="124" t="s">
        <v>344</v>
      </c>
      <c r="B16" s="118" t="s">
        <v>307</v>
      </c>
      <c r="C16" s="120"/>
      <c r="D16" s="123"/>
      <c r="E16" s="120">
        <f t="shared" si="0"/>
        <v>642.58999999999992</v>
      </c>
      <c r="F16" s="123">
        <v>1</v>
      </c>
      <c r="G16" s="122">
        <f>Orçamento!G63</f>
        <v>642.58999999999992</v>
      </c>
      <c r="H16" s="121"/>
      <c r="J16" s="112"/>
    </row>
    <row r="17" spans="1:10">
      <c r="A17" s="124" t="s">
        <v>356</v>
      </c>
      <c r="B17" s="118" t="s">
        <v>191</v>
      </c>
      <c r="C17" s="120">
        <f>D17*G17</f>
        <v>40633.391499999998</v>
      </c>
      <c r="D17" s="123">
        <v>0.65</v>
      </c>
      <c r="E17" s="120">
        <f t="shared" si="0"/>
        <v>21879.518499999998</v>
      </c>
      <c r="F17" s="123">
        <v>0.35</v>
      </c>
      <c r="G17" s="122">
        <f>Orçamento!G82</f>
        <v>62512.909999999996</v>
      </c>
      <c r="H17" s="121"/>
      <c r="J17" s="112"/>
    </row>
    <row r="18" spans="1:10">
      <c r="A18" s="124"/>
      <c r="B18" s="118"/>
      <c r="C18" s="120"/>
      <c r="D18" s="123"/>
      <c r="E18" s="120"/>
      <c r="F18" s="123"/>
      <c r="G18" s="122"/>
      <c r="H18" s="121"/>
      <c r="J18" s="112"/>
    </row>
    <row r="19" spans="1:10">
      <c r="A19" s="124"/>
      <c r="B19" s="118" t="s">
        <v>624</v>
      </c>
      <c r="C19" s="120">
        <f>D19*G19</f>
        <v>17391.940585999997</v>
      </c>
      <c r="D19" s="123">
        <v>0.61939999999999995</v>
      </c>
      <c r="E19" s="120">
        <f>F19*G19</f>
        <v>10686.749414</v>
      </c>
      <c r="F19" s="123">
        <v>0.38059999999999999</v>
      </c>
      <c r="G19" s="122">
        <f>Orçamento!G87</f>
        <v>28078.69</v>
      </c>
      <c r="H19" s="121"/>
      <c r="J19" s="112"/>
    </row>
    <row r="20" spans="1:10">
      <c r="A20" s="118"/>
      <c r="B20" s="118"/>
      <c r="C20" s="120"/>
      <c r="D20" s="120"/>
      <c r="E20" s="119"/>
      <c r="F20" s="119"/>
      <c r="G20" s="117"/>
      <c r="H20" s="112"/>
    </row>
    <row r="21" spans="1:10">
      <c r="A21" s="118"/>
      <c r="B21" s="114" t="s">
        <v>623</v>
      </c>
      <c r="C21" s="179">
        <f>SUM(C12:C19)</f>
        <v>112734.068086</v>
      </c>
      <c r="D21" s="180"/>
      <c r="E21" s="179">
        <f>SUM(E12:E19)</f>
        <v>69271.191913999995</v>
      </c>
      <c r="F21" s="180"/>
      <c r="G21" s="117">
        <f>SUM(C21:F21)</f>
        <v>182005.26</v>
      </c>
    </row>
    <row r="22" spans="1:10">
      <c r="A22" s="114"/>
      <c r="B22" s="114" t="s">
        <v>622</v>
      </c>
      <c r="C22" s="181">
        <f>C21/$G$21</f>
        <v>0.61940005517422958</v>
      </c>
      <c r="D22" s="182"/>
      <c r="E22" s="181">
        <f>E21/$G$21</f>
        <v>0.38059994482577036</v>
      </c>
      <c r="F22" s="182"/>
      <c r="G22" s="116"/>
    </row>
    <row r="23" spans="1:10">
      <c r="A23" s="114"/>
      <c r="B23" s="114" t="s">
        <v>621</v>
      </c>
      <c r="C23" s="179">
        <f>C21</f>
        <v>112734.068086</v>
      </c>
      <c r="D23" s="180"/>
      <c r="E23" s="179">
        <f>E21+C23</f>
        <v>182005.26</v>
      </c>
      <c r="F23" s="180"/>
      <c r="G23" s="115"/>
    </row>
    <row r="24" spans="1:10">
      <c r="A24" s="114"/>
      <c r="B24" s="114" t="s">
        <v>620</v>
      </c>
      <c r="C24" s="181">
        <f>C23/$G$21</f>
        <v>0.61940005517422958</v>
      </c>
      <c r="D24" s="182"/>
      <c r="E24" s="181">
        <f>E23/$G$21</f>
        <v>1</v>
      </c>
      <c r="F24" s="182"/>
      <c r="G24" s="113"/>
    </row>
    <row r="26" spans="1:10">
      <c r="G26" s="112"/>
    </row>
    <row r="27" spans="1:10">
      <c r="G27" s="112"/>
    </row>
    <row r="28" spans="1:10">
      <c r="C28" s="112"/>
      <c r="D28" s="112"/>
      <c r="E28" s="112"/>
      <c r="F28" s="112"/>
      <c r="G28" s="112"/>
    </row>
    <row r="29" spans="1:10">
      <c r="C29" s="111"/>
      <c r="E29" s="111"/>
      <c r="F29" s="111"/>
    </row>
    <row r="30" spans="1:10">
      <c r="B30" s="111"/>
    </row>
  </sheetData>
  <mergeCells count="17">
    <mergeCell ref="C21:D21"/>
    <mergeCell ref="C22:D22"/>
    <mergeCell ref="C23:D23"/>
    <mergeCell ref="C24:D24"/>
    <mergeCell ref="E21:F21"/>
    <mergeCell ref="E22:F22"/>
    <mergeCell ref="E23:F23"/>
    <mergeCell ref="E24:F24"/>
    <mergeCell ref="B1:G1"/>
    <mergeCell ref="B2:G2"/>
    <mergeCell ref="A4:G4"/>
    <mergeCell ref="A9:A10"/>
    <mergeCell ref="B9:B10"/>
    <mergeCell ref="C9:D9"/>
    <mergeCell ref="E9:F9"/>
    <mergeCell ref="G9:G10"/>
    <mergeCell ref="B7:G7"/>
  </mergeCells>
  <conditionalFormatting sqref="C12:F17">
    <cfRule type="cellIs" dxfId="3" priority="8" stopIfTrue="1" operator="equal">
      <formula>0</formula>
    </cfRule>
  </conditionalFormatting>
  <conditionalFormatting sqref="D19 F19">
    <cfRule type="cellIs" dxfId="2" priority="7" stopIfTrue="1" operator="equal">
      <formula>0</formula>
    </cfRule>
  </conditionalFormatting>
  <conditionalFormatting sqref="E19">
    <cfRule type="cellIs" dxfId="1" priority="1" stopIfTrue="1" operator="equal">
      <formula>0</formula>
    </cfRule>
  </conditionalFormatting>
  <conditionalFormatting sqref="C19">
    <cfRule type="cellIs" dxfId="0" priority="2" stopIfTrue="1" operator="equal">
      <formula>0</formula>
    </cfRule>
  </conditionalFormatting>
  <printOptions horizontalCentered="1"/>
  <pageMargins left="0.59055118110236227" right="0.39370078740157483" top="0.59055118110236227" bottom="0.39370078740157483" header="0.23622047244094491" footer="0.23622047244094491"/>
  <pageSetup scale="90" orientation="landscape" verticalDpi="300" r:id="rId1"/>
  <headerFooter alignWithMargins="0">
    <oddFooter>&amp;R&amp;A -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BDI Desonerado (2)</vt:lpstr>
      <vt:lpstr>Memoria Quantitativo</vt:lpstr>
      <vt:lpstr>Memoria Preço</vt:lpstr>
      <vt:lpstr>Orçamento</vt:lpstr>
      <vt:lpstr>Cronograma</vt:lpstr>
      <vt:lpstr>'BDI Desonerado (2)'!Area_de_impressao</vt:lpstr>
      <vt:lpstr>Cronograma!Area_de_impressao</vt:lpstr>
      <vt:lpstr>'Memoria Preço'!Area_de_impressao</vt:lpstr>
      <vt:lpstr>'Memoria Quantitativo'!Area_de_impressao</vt:lpstr>
      <vt:lpstr>Orçamento!Area_de_impressao</vt:lpstr>
      <vt:lpstr>'Memoria Preço'!Titulos_de_impressao</vt:lpstr>
      <vt:lpstr>'Memoria Quantitativo'!Titulos_de_impressao</vt:lpstr>
      <vt:lpstr>Orçamento!Titulos_de_impressao</vt:lpstr>
    </vt:vector>
  </TitlesOfParts>
  <Company>CUSTOR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Antônio Nardelli Avel</dc:creator>
  <cp:lastModifiedBy>Thais da Silva Miranda</cp:lastModifiedBy>
  <cp:lastPrinted>2019-10-31T22:48:10Z</cp:lastPrinted>
  <dcterms:created xsi:type="dcterms:W3CDTF">2005-09-25T12:47:36Z</dcterms:created>
  <dcterms:modified xsi:type="dcterms:W3CDTF">2020-02-17T12:21:01Z</dcterms:modified>
</cp:coreProperties>
</file>